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pschu\Nextcloud3\01 Beratungsstelle\06 Materialien\Finanzierung\"/>
    </mc:Choice>
  </mc:AlternateContent>
  <xr:revisionPtr revIDLastSave="0" documentId="13_ncr:1_{79D5F792-23ED-436B-A072-5D2EECE32764}" xr6:coauthVersionLast="47" xr6:coauthVersionMax="47" xr10:uidLastSave="{00000000-0000-0000-0000-000000000000}"/>
  <bookViews>
    <workbookView xWindow="-110" yWindow="-110" windowWidth="24220" windowHeight="15500" xr2:uid="{5A2D5052-4855-466F-8A7F-A111953074C2}"/>
  </bookViews>
  <sheets>
    <sheet name="Einführung" sheetId="14" r:id="rId1"/>
    <sheet name="Investition Bestand" sheetId="6" r:id="rId2"/>
    <sheet name="Wohnungen" sheetId="8" r:id="rId3"/>
    <sheet name="Eigenmittel_Förderung" sheetId="7" r:id="rId4"/>
    <sheet name="EK Kapitaldienst" sheetId="3" r:id="rId5"/>
    <sheet name="KFW" sheetId="9" r:id="rId6"/>
    <sheet name="KFW Kapitaldienst" sheetId="2" r:id="rId7"/>
    <sheet name="Fremdkapital" sheetId="15" r:id="rId8"/>
    <sheet name="FK Kapitaldienst" sheetId="16" r:id="rId9"/>
    <sheet name="InvestitionÜbersicht" sheetId="10" r:id="rId10"/>
    <sheet name="Mntl. Kosten" sheetId="12" r:id="rId11"/>
    <sheet name="Mieteinnahmen"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9" l="1"/>
  <c r="C15" i="6"/>
  <c r="C13" i="6"/>
  <c r="D18" i="12"/>
  <c r="C18" i="6"/>
  <c r="C19" i="6" s="1"/>
  <c r="C20" i="6" s="1"/>
  <c r="C22" i="6" s="1"/>
  <c r="C6" i="6"/>
  <c r="C9" i="6"/>
  <c r="C11" i="6"/>
  <c r="C24" i="6"/>
  <c r="D3" i="13"/>
  <c r="C14" i="12"/>
  <c r="D14" i="12" s="1"/>
  <c r="D4" i="10"/>
  <c r="D3" i="10"/>
  <c r="C3" i="12"/>
  <c r="D3" i="12" s="1"/>
  <c r="D5" i="3"/>
  <c r="D4" i="3"/>
  <c r="C4" i="3"/>
  <c r="B4" i="3"/>
  <c r="H10" i="9"/>
  <c r="H5" i="8"/>
  <c r="H6" i="8"/>
  <c r="H7" i="8"/>
  <c r="H8" i="8"/>
  <c r="H9" i="8"/>
  <c r="H10" i="8"/>
  <c r="H11" i="8"/>
  <c r="H12" i="8"/>
  <c r="H13" i="8"/>
  <c r="H14" i="8"/>
  <c r="H15" i="8"/>
  <c r="H16" i="8"/>
  <c r="H17" i="8"/>
  <c r="H18" i="8"/>
  <c r="H19" i="8"/>
  <c r="H20" i="8"/>
  <c r="H21" i="8"/>
  <c r="H22" i="8"/>
  <c r="H4" i="8"/>
  <c r="C32" i="8"/>
  <c r="B15" i="12"/>
  <c r="C15" i="12" s="1"/>
  <c r="D15" i="12" s="1"/>
  <c r="E23" i="7"/>
  <c r="E18" i="7"/>
  <c r="E10" i="7"/>
  <c r="C25" i="8"/>
  <c r="D25" i="8"/>
  <c r="H11" i="9" l="1"/>
  <c r="H12" i="9" s="1"/>
  <c r="D30" i="7"/>
  <c r="E30" i="7" s="1"/>
  <c r="E25" i="7"/>
  <c r="E24" i="7"/>
  <c r="E11" i="7"/>
  <c r="E4" i="8"/>
  <c r="E5" i="8"/>
  <c r="F5" i="8" s="1"/>
  <c r="E6" i="8"/>
  <c r="F6" i="8" s="1"/>
  <c r="E7" i="8"/>
  <c r="F7" i="8" s="1"/>
  <c r="E8" i="8"/>
  <c r="F8" i="8" s="1"/>
  <c r="E9" i="8"/>
  <c r="F9" i="8" s="1"/>
  <c r="E10" i="8"/>
  <c r="F10" i="8" s="1"/>
  <c r="E11" i="8"/>
  <c r="F11" i="8" s="1"/>
  <c r="E12" i="8"/>
  <c r="F12" i="8" s="1"/>
  <c r="E13" i="8"/>
  <c r="F13" i="8" s="1"/>
  <c r="E14" i="8"/>
  <c r="F14" i="8" s="1"/>
  <c r="E15" i="8"/>
  <c r="F15" i="8" s="1"/>
  <c r="E16" i="8"/>
  <c r="F16" i="8" s="1"/>
  <c r="E17" i="8"/>
  <c r="F17" i="8" s="1"/>
  <c r="E18" i="8"/>
  <c r="F18" i="8" s="1"/>
  <c r="E19" i="8"/>
  <c r="F19" i="8" s="1"/>
  <c r="E20" i="8"/>
  <c r="F20" i="8" s="1"/>
  <c r="E21" i="8"/>
  <c r="F21" i="8" s="1"/>
  <c r="C3" i="13"/>
  <c r="E4" i="13" s="1"/>
  <c r="D28" i="8"/>
  <c r="D30" i="8" s="1"/>
  <c r="C7" i="13" s="1"/>
  <c r="C10" i="13" s="1"/>
  <c r="E7" i="7"/>
  <c r="E13" i="7" s="1"/>
  <c r="D7" i="10" l="1"/>
  <c r="E31" i="7"/>
  <c r="E32" i="7" s="1"/>
  <c r="H9" i="9"/>
  <c r="D17" i="9" s="1"/>
  <c r="F4" i="8"/>
  <c r="F25" i="8" s="1"/>
  <c r="E25" i="8"/>
  <c r="E4" i="7"/>
  <c r="D6" i="10" l="1"/>
  <c r="E48" i="7"/>
  <c r="E34" i="7"/>
  <c r="H5" i="9" s="1"/>
  <c r="D10" i="10" s="1"/>
  <c r="E41" i="7"/>
  <c r="E5" i="7"/>
  <c r="E15" i="7"/>
  <c r="H4" i="9"/>
  <c r="H4" i="15" l="1"/>
  <c r="E20" i="9"/>
  <c r="E21" i="9" s="1"/>
  <c r="B4" i="2" s="1"/>
  <c r="E42" i="7"/>
  <c r="C4" i="12"/>
  <c r="D4" i="12" s="1"/>
  <c r="E14" i="7"/>
  <c r="D4" i="2" l="1"/>
  <c r="C4" i="2"/>
  <c r="E4" i="2" l="1"/>
  <c r="B5" i="2"/>
  <c r="D5" i="2" s="1"/>
  <c r="E4" i="3"/>
  <c r="B5" i="3"/>
  <c r="E29" i="9" l="1"/>
  <c r="E28" i="9" s="1"/>
  <c r="C5" i="12" s="1"/>
  <c r="D5" i="12" s="1"/>
  <c r="C5" i="2"/>
  <c r="C5" i="3"/>
  <c r="E5" i="2" l="1"/>
  <c r="B6" i="2"/>
  <c r="D6" i="2" s="1"/>
  <c r="B6" i="3"/>
  <c r="D6" i="3" s="1"/>
  <c r="E5" i="3"/>
  <c r="C6" i="2" l="1"/>
  <c r="C6" i="3"/>
  <c r="E6" i="2" l="1"/>
  <c r="B7" i="2"/>
  <c r="D7" i="2" s="1"/>
  <c r="E6" i="3"/>
  <c r="B7" i="3"/>
  <c r="D7" i="3" s="1"/>
  <c r="C7" i="2" l="1"/>
  <c r="C7" i="3"/>
  <c r="E7" i="2" l="1"/>
  <c r="B8" i="2"/>
  <c r="D8" i="2" s="1"/>
  <c r="E7" i="3"/>
  <c r="B8" i="3"/>
  <c r="D8" i="3" s="1"/>
  <c r="C8" i="3" l="1"/>
  <c r="C8" i="2"/>
  <c r="E8" i="3" l="1"/>
  <c r="B9" i="3"/>
  <c r="D9" i="3" s="1"/>
  <c r="E8" i="2"/>
  <c r="B9" i="2"/>
  <c r="D9" i="2" s="1"/>
  <c r="C9" i="3" l="1"/>
  <c r="C9" i="2"/>
  <c r="E9" i="3" l="1"/>
  <c r="B10" i="3"/>
  <c r="D10" i="3" s="1"/>
  <c r="E9" i="2"/>
  <c r="B10" i="2"/>
  <c r="D10" i="2" s="1"/>
  <c r="C10" i="3" l="1"/>
  <c r="C10" i="2"/>
  <c r="E10" i="3" l="1"/>
  <c r="B11" i="3"/>
  <c r="D11" i="3" s="1"/>
  <c r="E10" i="2"/>
  <c r="B11" i="2"/>
  <c r="D11" i="2" s="1"/>
  <c r="C11" i="3" l="1"/>
  <c r="C11" i="2"/>
  <c r="E11" i="2" l="1"/>
  <c r="B12" i="2"/>
  <c r="D12" i="2" s="1"/>
  <c r="B12" i="3"/>
  <c r="D12" i="3" s="1"/>
  <c r="E11" i="3"/>
  <c r="C12" i="2" l="1"/>
  <c r="C12" i="3"/>
  <c r="B13" i="2" l="1"/>
  <c r="D13" i="2" s="1"/>
  <c r="E12" i="2"/>
  <c r="E12" i="3"/>
  <c r="B13" i="3"/>
  <c r="D13" i="3" s="1"/>
  <c r="C13" i="2" l="1"/>
  <c r="C13" i="3"/>
  <c r="E13" i="2" l="1"/>
  <c r="B14" i="2"/>
  <c r="D14" i="2" s="1"/>
  <c r="E13" i="3"/>
  <c r="B14" i="3"/>
  <c r="D14" i="3" s="1"/>
  <c r="C14" i="2" l="1"/>
  <c r="C14" i="3"/>
  <c r="E14" i="2" l="1"/>
  <c r="B15" i="2"/>
  <c r="D15" i="2" s="1"/>
  <c r="E14" i="3"/>
  <c r="B15" i="3"/>
  <c r="D15" i="3" s="1"/>
  <c r="C15" i="2" l="1"/>
  <c r="C15" i="3"/>
  <c r="E15" i="2" l="1"/>
  <c r="B16" i="2"/>
  <c r="D16" i="2" s="1"/>
  <c r="E15" i="3"/>
  <c r="B16" i="3"/>
  <c r="D16" i="3" s="1"/>
  <c r="C16" i="2" l="1"/>
  <c r="C16" i="3"/>
  <c r="E16" i="2" l="1"/>
  <c r="B17" i="2"/>
  <c r="D17" i="2" s="1"/>
  <c r="E16" i="3"/>
  <c r="B17" i="3"/>
  <c r="D17" i="3" s="1"/>
  <c r="C17" i="2" l="1"/>
  <c r="C17" i="3"/>
  <c r="E17" i="2" l="1"/>
  <c r="B18" i="2"/>
  <c r="D18" i="2" s="1"/>
  <c r="E17" i="3"/>
  <c r="B18" i="3"/>
  <c r="D18" i="3" s="1"/>
  <c r="C18" i="3" l="1"/>
  <c r="C18" i="2"/>
  <c r="E18" i="3" l="1"/>
  <c r="B19" i="3"/>
  <c r="D19" i="3" s="1"/>
  <c r="E18" i="2"/>
  <c r="B19" i="2"/>
  <c r="D19" i="2" s="1"/>
  <c r="C19" i="3" l="1"/>
  <c r="C19" i="2"/>
  <c r="B20" i="3" l="1"/>
  <c r="D20" i="3" s="1"/>
  <c r="E19" i="3"/>
  <c r="B20" i="2"/>
  <c r="D20" i="2" s="1"/>
  <c r="E19" i="2"/>
  <c r="C20" i="3" l="1"/>
  <c r="C20" i="2"/>
  <c r="B21" i="3" l="1"/>
  <c r="D21" i="3" s="1"/>
  <c r="E20" i="3"/>
  <c r="B21" i="2"/>
  <c r="D21" i="2" s="1"/>
  <c r="E20" i="2"/>
  <c r="C21" i="3" l="1"/>
  <c r="C21" i="2"/>
  <c r="B22" i="3" l="1"/>
  <c r="D22" i="3" s="1"/>
  <c r="E21" i="3"/>
  <c r="E21" i="2"/>
  <c r="B22" i="2"/>
  <c r="D22" i="2" s="1"/>
  <c r="C22" i="3" l="1"/>
  <c r="C22" i="2"/>
  <c r="B23" i="3" l="1"/>
  <c r="D23" i="3" s="1"/>
  <c r="E22" i="3"/>
  <c r="E22" i="2"/>
  <c r="B23" i="2"/>
  <c r="D23" i="2" s="1"/>
  <c r="C23" i="3" l="1"/>
  <c r="C23" i="2"/>
  <c r="B24" i="3" l="1"/>
  <c r="D24" i="3" s="1"/>
  <c r="E23" i="3"/>
  <c r="E23" i="2"/>
  <c r="B24" i="2"/>
  <c r="D24" i="2" s="1"/>
  <c r="C24" i="3" l="1"/>
  <c r="C24" i="2"/>
  <c r="E24" i="3" l="1"/>
  <c r="B25" i="3"/>
  <c r="D25" i="3" s="1"/>
  <c r="B25" i="2"/>
  <c r="D25" i="2" s="1"/>
  <c r="E24" i="2"/>
  <c r="C25" i="3" l="1"/>
  <c r="C25" i="2"/>
  <c r="B26" i="3" l="1"/>
  <c r="D26" i="3" s="1"/>
  <c r="E25" i="3"/>
  <c r="E25" i="2"/>
  <c r="B26" i="2"/>
  <c r="D26" i="2" s="1"/>
  <c r="C26" i="3" l="1"/>
  <c r="C26" i="2"/>
  <c r="B27" i="3" l="1"/>
  <c r="D27" i="3" s="1"/>
  <c r="E26" i="3"/>
  <c r="E26" i="2"/>
  <c r="B27" i="2"/>
  <c r="D27" i="2" s="1"/>
  <c r="C27" i="3" l="1"/>
  <c r="C27" i="2"/>
  <c r="E27" i="3" l="1"/>
  <c r="B28" i="3"/>
  <c r="D28" i="3" s="1"/>
  <c r="B28" i="2"/>
  <c r="D28" i="2" s="1"/>
  <c r="E27" i="2"/>
  <c r="C28" i="3" l="1"/>
  <c r="C28" i="2"/>
  <c r="B29" i="3" l="1"/>
  <c r="D29" i="3" s="1"/>
  <c r="E28" i="3"/>
  <c r="E28" i="2"/>
  <c r="B29" i="2"/>
  <c r="D29" i="2" s="1"/>
  <c r="C29" i="3" l="1"/>
  <c r="C29" i="2"/>
  <c r="E29" i="3" l="1"/>
  <c r="B30" i="3"/>
  <c r="D30" i="3" s="1"/>
  <c r="E29" i="2"/>
  <c r="B30" i="2"/>
  <c r="D30" i="2" s="1"/>
  <c r="C30" i="3" l="1"/>
  <c r="C30" i="2"/>
  <c r="B31" i="3" l="1"/>
  <c r="D31" i="3" s="1"/>
  <c r="C31" i="3" s="1"/>
  <c r="E30" i="3"/>
  <c r="E30" i="2"/>
  <c r="B31" i="2"/>
  <c r="D31" i="2" s="1"/>
  <c r="B32" i="3" l="1"/>
  <c r="D32" i="3" s="1"/>
  <c r="E31" i="3"/>
  <c r="C31" i="2"/>
  <c r="C32" i="3" l="1"/>
  <c r="E32" i="3" s="1"/>
  <c r="B32" i="2"/>
  <c r="D32" i="2" s="1"/>
  <c r="E31" i="2"/>
  <c r="C32" i="2" l="1"/>
  <c r="E32" i="2" s="1"/>
  <c r="E8" i="15" l="1"/>
  <c r="B4" i="16" s="1"/>
  <c r="D13" i="10"/>
  <c r="D16" i="10"/>
  <c r="D4" i="16" l="1"/>
  <c r="C4" i="16"/>
  <c r="B5" i="16" l="1"/>
  <c r="D5" i="16" s="1"/>
  <c r="E4" i="16"/>
  <c r="E16" i="15" s="1"/>
  <c r="E15" i="15" s="1"/>
  <c r="C6" i="12" s="1"/>
  <c r="C5" i="16" l="1"/>
  <c r="C8" i="12"/>
  <c r="D6" i="12"/>
  <c r="E5" i="16" l="1"/>
  <c r="B6" i="16"/>
  <c r="D6" i="16" s="1"/>
  <c r="C6" i="16" s="1"/>
  <c r="D8" i="12"/>
  <c r="E6" i="16" l="1"/>
  <c r="B7" i="16"/>
  <c r="D7" i="16" l="1"/>
  <c r="C7" i="16" s="1"/>
  <c r="E7" i="16" l="1"/>
  <c r="B8" i="16"/>
  <c r="D8" i="16" l="1"/>
  <c r="C8" i="16" s="1"/>
  <c r="E8" i="16" l="1"/>
  <c r="B9" i="16"/>
  <c r="D9" i="16" l="1"/>
  <c r="C9" i="16" s="1"/>
  <c r="E9" i="16" l="1"/>
  <c r="B10" i="16"/>
  <c r="D10" i="16" l="1"/>
  <c r="C10" i="16" s="1"/>
  <c r="E10" i="16" l="1"/>
  <c r="B11" i="16"/>
  <c r="D11" i="16" l="1"/>
  <c r="C11" i="16" s="1"/>
  <c r="E11" i="16" l="1"/>
  <c r="B12" i="16"/>
  <c r="D12" i="16" l="1"/>
  <c r="C12" i="16" s="1"/>
  <c r="E12" i="16" l="1"/>
  <c r="B13" i="16"/>
  <c r="D13" i="16" l="1"/>
  <c r="C13" i="16" s="1"/>
  <c r="E13" i="16" l="1"/>
  <c r="B14" i="16"/>
  <c r="D14" i="16" s="1"/>
  <c r="C14" i="16" l="1"/>
  <c r="E14" i="16" l="1"/>
  <c r="B15" i="16"/>
  <c r="D15" i="16" s="1"/>
  <c r="C15" i="16" s="1"/>
  <c r="E15" i="16" l="1"/>
  <c r="B16" i="16"/>
  <c r="D16" i="16" l="1"/>
  <c r="C16" i="16" s="1"/>
  <c r="E16" i="16" l="1"/>
  <c r="B17" i="16"/>
  <c r="D17" i="16" l="1"/>
  <c r="C17" i="16" s="1"/>
  <c r="E17" i="16" l="1"/>
  <c r="B18" i="16"/>
  <c r="D18" i="16" l="1"/>
  <c r="C18" i="16" s="1"/>
  <c r="E18" i="16" l="1"/>
  <c r="B19" i="16"/>
  <c r="D19" i="16" l="1"/>
  <c r="C19" i="16" s="1"/>
  <c r="E19" i="16" l="1"/>
  <c r="B20" i="16"/>
  <c r="D20" i="16" l="1"/>
  <c r="C20" i="16" s="1"/>
  <c r="E20" i="16" l="1"/>
  <c r="B21" i="16"/>
  <c r="D21" i="16" l="1"/>
  <c r="C21" i="16" s="1"/>
  <c r="E21" i="16" l="1"/>
  <c r="B22" i="16"/>
  <c r="D22" i="16" s="1"/>
  <c r="C22" i="16" l="1"/>
  <c r="E22" i="16" l="1"/>
  <c r="B23" i="16"/>
  <c r="D23" i="16" s="1"/>
  <c r="C23" i="16" s="1"/>
  <c r="E23" i="16" l="1"/>
  <c r="B24" i="16"/>
  <c r="D24" i="16" l="1"/>
  <c r="C24" i="16" s="1"/>
  <c r="E24" i="16" l="1"/>
  <c r="B25" i="16"/>
  <c r="D25" i="16" l="1"/>
  <c r="C25" i="16" s="1"/>
  <c r="E25" i="16" l="1"/>
  <c r="B26" i="16"/>
  <c r="D26" i="16" l="1"/>
  <c r="C26" i="16" s="1"/>
  <c r="E26" i="16" l="1"/>
  <c r="B27" i="16"/>
  <c r="D27" i="16" l="1"/>
  <c r="C27" i="16" s="1"/>
  <c r="E27" i="16" l="1"/>
  <c r="B28" i="16"/>
  <c r="D28" i="16" l="1"/>
  <c r="C28" i="16" s="1"/>
  <c r="E28" i="16" l="1"/>
  <c r="B29" i="16"/>
  <c r="D29" i="16" l="1"/>
  <c r="C29" i="16" s="1"/>
  <c r="E29" i="16" l="1"/>
  <c r="B30" i="16"/>
  <c r="D30" i="16" s="1"/>
  <c r="C30" i="16" s="1"/>
  <c r="E30" i="16" s="1"/>
  <c r="C21" i="12"/>
  <c r="C23" i="12" l="1"/>
  <c r="D21" i="12"/>
  <c r="D23" i="12" l="1"/>
  <c r="C25" i="12"/>
  <c r="D25" i="12" l="1"/>
  <c r="C27" i="12"/>
  <c r="D27" i="12" s="1"/>
  <c r="D10" i="13" s="1"/>
  <c r="E10" i="13" s="1"/>
  <c r="D7" i="13" s="1"/>
  <c r="E7" i="13" s="1"/>
</calcChain>
</file>

<file path=xl/sharedStrings.xml><?xml version="1.0" encoding="utf-8"?>
<sst xmlns="http://schemas.openxmlformats.org/spreadsheetml/2006/main" count="159" uniqueCount="114">
  <si>
    <t>Monatliche Kosten</t>
  </si>
  <si>
    <t>Kreditplan</t>
  </si>
  <si>
    <t>Gesamt</t>
  </si>
  <si>
    <t>pro m²</t>
  </si>
  <si>
    <t>FK:</t>
  </si>
  <si>
    <t>EK</t>
  </si>
  <si>
    <t>Jahr</t>
  </si>
  <si>
    <t>Restkredit</t>
  </si>
  <si>
    <t>Tilgung</t>
  </si>
  <si>
    <t>Zins</t>
  </si>
  <si>
    <t>Annuität</t>
  </si>
  <si>
    <t>Annuität monatl. Gesamt</t>
  </si>
  <si>
    <t>Gesamtinvestment</t>
  </si>
  <si>
    <t>Puffer</t>
  </si>
  <si>
    <t>Gesamtfinanzierung</t>
  </si>
  <si>
    <t>Laufzeit</t>
  </si>
  <si>
    <t>Kostenkalkulation Investion Wohnprojekt</t>
  </si>
  <si>
    <t>Grunderwerbssteuer Kaufpreis</t>
  </si>
  <si>
    <t>Kaufpreis Bestandsgebäude</t>
  </si>
  <si>
    <t>Kauf Bestandgebäude</t>
  </si>
  <si>
    <t>geschätzte Sanierungskosten</t>
  </si>
  <si>
    <t>Gesamtbaukosten Altbau</t>
  </si>
  <si>
    <t>zuzüglich</t>
  </si>
  <si>
    <t>QM</t>
  </si>
  <si>
    <t>oder</t>
  </si>
  <si>
    <t>pro QM Wohnfläche</t>
  </si>
  <si>
    <t>erwartete Wohnfläche</t>
  </si>
  <si>
    <t>davon 0% Zinsen</t>
  </si>
  <si>
    <t>davon xy% Zinsen</t>
  </si>
  <si>
    <t>Förderung</t>
  </si>
  <si>
    <t>Zuschuss</t>
  </si>
  <si>
    <t>Zinssatz</t>
  </si>
  <si>
    <t>Sollzinsbindung</t>
  </si>
  <si>
    <t>anfängliche Tilgung</t>
  </si>
  <si>
    <t>Jahre</t>
  </si>
  <si>
    <t>Förderdarlehen</t>
  </si>
  <si>
    <t>Belastung pa</t>
  </si>
  <si>
    <t>Belastung pm</t>
  </si>
  <si>
    <r>
      <rPr>
        <b/>
        <sz val="12"/>
        <color rgb="FFFF0000"/>
        <rFont val="Open Sans"/>
        <family val="2"/>
      </rPr>
      <t>evtl.</t>
    </r>
    <r>
      <rPr>
        <b/>
        <sz val="12"/>
        <color theme="1"/>
        <rFont val="Open Sans"/>
        <family val="2"/>
      </rPr>
      <t xml:space="preserve"> Makler</t>
    </r>
  </si>
  <si>
    <r>
      <t xml:space="preserve">Notariat und Grundbuch </t>
    </r>
    <r>
      <rPr>
        <b/>
        <sz val="8"/>
        <color theme="1"/>
        <rFont val="Open Sans"/>
        <family val="2"/>
      </rPr>
      <t>(prozentual)</t>
    </r>
  </si>
  <si>
    <t>vorhandene Bruttogeschossfläche</t>
  </si>
  <si>
    <t>Eigenmittel</t>
  </si>
  <si>
    <t>Anzahl Wohnungen</t>
  </si>
  <si>
    <t>pro Wohnung</t>
  </si>
  <si>
    <t>Zimmer</t>
  </si>
  <si>
    <t>QM Wohnfläche</t>
  </si>
  <si>
    <t>6 Nachrangdarlehen oder Soli-Einlagen</t>
  </si>
  <si>
    <t>Gesamteigenmittel</t>
  </si>
  <si>
    <t>größte Wohnungen :-) QM</t>
  </si>
  <si>
    <t>zum Beispiel</t>
  </si>
  <si>
    <t>Mieteinnahmen</t>
  </si>
  <si>
    <t>WBS</t>
  </si>
  <si>
    <t>pm</t>
  </si>
  <si>
    <t>Freie</t>
  </si>
  <si>
    <t>max</t>
  </si>
  <si>
    <t>Whg</t>
  </si>
  <si>
    <t>Kreditsumme</t>
  </si>
  <si>
    <t>Annuität:</t>
  </si>
  <si>
    <t>Annuität monatl. nur Eigenmittel</t>
  </si>
  <si>
    <t>Annuität monatl. nur kommunale Förderung</t>
  </si>
  <si>
    <t>Annuität monatl. nur KFW</t>
  </si>
  <si>
    <t>Annuität monatl. nur FK</t>
  </si>
  <si>
    <t>sonstige Kosten:</t>
  </si>
  <si>
    <t>Instandhaltungsrücklage (pro Jahr/Wohnung) pm</t>
  </si>
  <si>
    <t>Verwaltung (pro Jahr/Wohnung) pm</t>
  </si>
  <si>
    <t>MAW (2% Einnahmen)</t>
  </si>
  <si>
    <t>Erbpacht</t>
  </si>
  <si>
    <t>Verteilung der Wohnungen</t>
  </si>
  <si>
    <t>Gemeinschaftsfläche</t>
  </si>
  <si>
    <t>Anteil Gemeinschaft in QM</t>
  </si>
  <si>
    <t>Größe Wohnugen</t>
  </si>
  <si>
    <t>Unteres Preissegment</t>
  </si>
  <si>
    <t xml:space="preserve">kommunaler Modernisierungkredit Bestand </t>
  </si>
  <si>
    <t>(https://www.bab-bremen.de/de/page/programm/modernisierungskredite-mietwohnungen) Stand 24.02.2026</t>
  </si>
  <si>
    <t>zu fördernde Wohnungen</t>
  </si>
  <si>
    <t>Anteil der Wohnungen (variabel?)</t>
  </si>
  <si>
    <t>Differenz</t>
  </si>
  <si>
    <t>(negativer Wert bedeutet, es sind mehr al 20% Eigenmittel vorhanden, positiver Wert bedeutet, weniger als 20%)</t>
  </si>
  <si>
    <t>Höhe Zuschuss:</t>
  </si>
  <si>
    <t>80% der Modernisierungskosten</t>
  </si>
  <si>
    <t>Kosten QM Wohnfläche gesamt</t>
  </si>
  <si>
    <t>Kosten QM Wohnfläche nur Sanierung</t>
  </si>
  <si>
    <t>Summe Förderung gesamt</t>
  </si>
  <si>
    <t>Belastung Förderdarlehen</t>
  </si>
  <si>
    <t>abhängig von der erreichten Ernergieklasse &amp; Bindung</t>
  </si>
  <si>
    <t>max. Kreditsumme/Wohnung</t>
  </si>
  <si>
    <t>Höhe Förderkredit:</t>
  </si>
  <si>
    <t xml:space="preserve">Miete gedeckelt auf </t>
  </si>
  <si>
    <t>KFW 85</t>
  </si>
  <si>
    <t>es wird erreicht</t>
  </si>
  <si>
    <t>Tilgungszuschuss/Wohnung</t>
  </si>
  <si>
    <t>Tilgungszuschuss/Wohnung-WPB</t>
  </si>
  <si>
    <t>restlicher Finanzierungsbedarf</t>
  </si>
  <si>
    <t>restliche Wohnungen</t>
  </si>
  <si>
    <t>restliche QM</t>
  </si>
  <si>
    <t>Modernisierungsksoten QM</t>
  </si>
  <si>
    <t>80% energetische Sanierung</t>
  </si>
  <si>
    <t>Fremdfinanzierung über KFW</t>
  </si>
  <si>
    <t>Fremdfinanzierung freie Banken Rest</t>
  </si>
  <si>
    <t>restlicher Finanzierungsbedarf nur Sanierung</t>
  </si>
  <si>
    <t>z.B. Genossenschaftspflichteinlagen mit € 1.000.-€ Wfl.</t>
  </si>
  <si>
    <t>Einlagen</t>
  </si>
  <si>
    <t>Nachrangdarlehen u.a.</t>
  </si>
  <si>
    <t>Kredite KFW</t>
  </si>
  <si>
    <t>komunales Darlehen</t>
  </si>
  <si>
    <t>Kommunaler Zuschuss</t>
  </si>
  <si>
    <t>Übersicht Finanzierung der Investition</t>
  </si>
  <si>
    <t>Bankkredit</t>
  </si>
  <si>
    <t>KFW 261</t>
  </si>
  <si>
    <t>finanziert nur energetische Maßnahmen!!!</t>
  </si>
  <si>
    <t>WPB= Worst Performing Building- KFW Kategorie</t>
  </si>
  <si>
    <t>zu finanziertender Kreditbetrag</t>
  </si>
  <si>
    <t xml:space="preserve">KFW </t>
  </si>
  <si>
    <t>KFW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</si>
</sst>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quot; &quot;%"/>
    <numFmt numFmtId="165" formatCode="0.0%"/>
  </numFmts>
  <fonts count="29">
    <font>
      <sz val="10"/>
      <color theme="1"/>
      <name val="Liberation Sans"/>
    </font>
    <font>
      <sz val="11"/>
      <color theme="1"/>
      <name val="Aptos Narrow"/>
      <family val="2"/>
      <scheme val="minor"/>
    </font>
    <font>
      <sz val="11"/>
      <color theme="1"/>
      <name val="Aptos Narrow"/>
      <family val="2"/>
      <scheme val="minor"/>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rgb="FF000000"/>
      <name val="Liberation Sans"/>
    </font>
    <font>
      <b/>
      <sz val="18"/>
      <color rgb="FF000000"/>
      <name val="Liberation Sans"/>
    </font>
    <font>
      <b/>
      <sz val="12"/>
      <color rgb="FF000000"/>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
      <b/>
      <sz val="12"/>
      <color theme="1"/>
      <name val="Open Sans"/>
      <family val="2"/>
    </font>
    <font>
      <sz val="12"/>
      <color theme="1"/>
      <name val="Open Sans"/>
      <family val="2"/>
    </font>
    <font>
      <b/>
      <sz val="12"/>
      <color rgb="FFFF0000"/>
      <name val="Open Sans"/>
      <family val="2"/>
    </font>
    <font>
      <b/>
      <sz val="8"/>
      <color theme="1"/>
      <name val="Open Sans"/>
      <family val="2"/>
    </font>
    <font>
      <sz val="20"/>
      <color theme="1"/>
      <name val="Open Sans"/>
      <family val="2"/>
    </font>
    <font>
      <b/>
      <sz val="20"/>
      <color theme="1"/>
      <name val="Open Sans"/>
      <family val="2"/>
    </font>
    <font>
      <sz val="12"/>
      <color rgb="FFFF0000"/>
      <name val="Open Sans"/>
      <family val="2"/>
    </font>
    <font>
      <b/>
      <sz val="14"/>
      <color theme="1"/>
      <name val="Open Sans"/>
      <family val="2"/>
    </font>
    <font>
      <sz val="9"/>
      <color theme="1"/>
      <name val="Open Sans"/>
      <family val="2"/>
    </font>
    <font>
      <sz val="8"/>
      <color theme="1"/>
      <name val="Open Sans"/>
      <family val="2"/>
    </font>
    <font>
      <sz val="10"/>
      <color theme="1"/>
      <name val="Open Sans"/>
      <family val="2"/>
    </font>
    <font>
      <sz val="12"/>
      <color theme="1"/>
      <name val="Liberation Sans"/>
    </font>
    <font>
      <b/>
      <sz val="12"/>
      <color theme="1"/>
      <name val="Liberation Sans"/>
    </font>
  </fonts>
  <fills count="2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rgb="FFFFE99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79998168889431442"/>
        <bgColor rgb="FFFFE994"/>
      </patternFill>
    </fill>
    <fill>
      <patternFill patternType="solid">
        <fgColor theme="3" tint="0.89999084444715716"/>
        <bgColor indexed="64"/>
      </patternFill>
    </fill>
    <fill>
      <patternFill patternType="solid">
        <fgColor theme="3" tint="0.89999084444715716"/>
        <bgColor rgb="FFFFE994"/>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rgb="FFFFE994"/>
      </patternFill>
    </fill>
    <fill>
      <patternFill patternType="solid">
        <fgColor theme="5" tint="0.79998168889431442"/>
        <bgColor rgb="FFFFE994"/>
      </patternFill>
    </fill>
    <fill>
      <patternFill patternType="solid">
        <fgColor theme="0" tint="-0.14999847407452621"/>
        <bgColor indexed="64"/>
      </patternFill>
    </fill>
    <fill>
      <patternFill patternType="solid">
        <fgColor theme="0" tint="-0.14999847407452621"/>
        <bgColor rgb="FFFFE994"/>
      </patternFill>
    </fill>
    <fill>
      <patternFill patternType="solid">
        <fgColor theme="0" tint="-0.14999847407452621"/>
        <bgColor rgb="FFDDDDDD"/>
      </patternFill>
    </fill>
  </fills>
  <borders count="5">
    <border>
      <left/>
      <right/>
      <top/>
      <bottom/>
      <diagonal/>
    </border>
    <border>
      <left style="thin">
        <color rgb="FF808080"/>
      </left>
      <right style="thin">
        <color rgb="FF808080"/>
      </right>
      <top style="thin">
        <color rgb="FF808080"/>
      </top>
      <bottom style="thin">
        <color rgb="FF808080"/>
      </bottom>
      <diagonal/>
    </border>
    <border>
      <left/>
      <right/>
      <top style="thin">
        <color rgb="FFFF0000"/>
      </top>
      <bottom style="thin">
        <color rgb="FFFF0000"/>
      </bottom>
      <diagonal/>
    </border>
    <border>
      <left/>
      <right/>
      <top style="thin">
        <color rgb="FFFF0000"/>
      </top>
      <bottom style="double">
        <color rgb="FFFF0000"/>
      </bottom>
      <diagonal/>
    </border>
    <border>
      <left style="thin">
        <color indexed="64"/>
      </left>
      <right style="thin">
        <color indexed="64"/>
      </right>
      <top style="thin">
        <color indexed="64"/>
      </top>
      <bottom style="thin">
        <color indexed="64"/>
      </bottom>
      <diagonal/>
    </border>
  </borders>
  <cellStyleXfs count="23">
    <xf numFmtId="0" fontId="0" fillId="0" borderId="0"/>
    <xf numFmtId="44" fontId="2" fillId="0" borderId="0" applyFont="0" applyFill="0" applyBorder="0" applyAlignment="0" applyProtection="0"/>
    <xf numFmtId="0" fontId="13" fillId="8" borderId="0" applyNumberFormat="0" applyBorder="0" applyProtection="0"/>
    <xf numFmtId="0" fontId="4" fillId="0" borderId="0" applyNumberFormat="0" applyFill="0" applyBorder="0" applyProtection="0"/>
    <xf numFmtId="0" fontId="5" fillId="2" borderId="0" applyNumberFormat="0" applyBorder="0" applyProtection="0"/>
    <xf numFmtId="0" fontId="5" fillId="3" borderId="0" applyNumberFormat="0" applyBorder="0" applyProtection="0"/>
    <xf numFmtId="0" fontId="4" fillId="4" borderId="0" applyNumberFormat="0" applyBorder="0" applyProtection="0"/>
    <xf numFmtId="0" fontId="6" fillId="5" borderId="0" applyNumberFormat="0" applyBorder="0" applyProtection="0"/>
    <xf numFmtId="0" fontId="3" fillId="0" borderId="0" applyNumberFormat="0" applyFont="0" applyFill="0" applyBorder="0" applyAlignment="0" applyProtection="0"/>
    <xf numFmtId="0" fontId="5" fillId="6" borderId="0" applyNumberFormat="0" applyBorder="0" applyProtection="0"/>
    <xf numFmtId="0" fontId="7" fillId="0" borderId="0" applyNumberFormat="0" applyFill="0" applyBorder="0" applyProtection="0"/>
    <xf numFmtId="0" fontId="8" fillId="7" borderId="0" applyNumberFormat="0" applyBorder="0" applyProtection="0"/>
    <xf numFmtId="0" fontId="9" fillId="0" borderId="0" applyNumberFormat="0" applyFill="0" applyBorder="0" applyProtection="0"/>
    <xf numFmtId="0" fontId="10" fillId="0" borderId="0" applyNumberFormat="0" applyFill="0" applyBorder="0" applyProtection="0"/>
    <xf numFmtId="0" fontId="11" fillId="0" borderId="0" applyNumberFormat="0" applyFill="0" applyBorder="0" applyProtection="0"/>
    <xf numFmtId="0" fontId="12" fillId="0" borderId="0" applyNumberFormat="0" applyFill="0" applyBorder="0" applyProtection="0"/>
    <xf numFmtId="0" fontId="14" fillId="8" borderId="1" applyNumberFormat="0" applyProtection="0"/>
    <xf numFmtId="0" fontId="15" fillId="0" borderId="0" applyNumberFormat="0" applyFill="0" applyBorder="0" applyProtection="0"/>
    <xf numFmtId="0" fontId="3" fillId="0" borderId="0" applyNumberFormat="0" applyFont="0" applyFill="0" applyBorder="0" applyProtection="0"/>
    <xf numFmtId="0" fontId="3" fillId="0" borderId="0" applyNumberFormat="0" applyFont="0" applyFill="0" applyBorder="0" applyProtection="0"/>
    <xf numFmtId="0" fontId="6" fillId="0" borderId="0" applyNumberFormat="0" applyFill="0" applyBorder="0" applyProtection="0"/>
    <xf numFmtId="9" fontId="3"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4" fillId="4" borderId="0" xfId="8" applyFont="1" applyFill="1"/>
    <xf numFmtId="0" fontId="0" fillId="4" borderId="0" xfId="8" applyFont="1" applyFill="1"/>
    <xf numFmtId="0" fontId="3" fillId="0" borderId="0" xfId="8"/>
    <xf numFmtId="0" fontId="4" fillId="0" borderId="0" xfId="8" applyFont="1"/>
    <xf numFmtId="4" fontId="0" fillId="0" borderId="0" xfId="8" applyNumberFormat="1" applyFont="1"/>
    <xf numFmtId="0" fontId="0" fillId="0" borderId="0" xfId="8" applyFont="1" applyAlignment="1">
      <alignment horizontal="left"/>
    </xf>
    <xf numFmtId="0" fontId="17" fillId="0" borderId="0" xfId="8" applyFont="1"/>
    <xf numFmtId="0" fontId="16" fillId="0" borderId="0" xfId="8" applyFont="1"/>
    <xf numFmtId="0" fontId="17" fillId="0" borderId="0" xfId="8" applyFont="1" applyAlignment="1">
      <alignment horizontal="left"/>
    </xf>
    <xf numFmtId="4" fontId="17" fillId="0" borderId="0" xfId="8" applyNumberFormat="1" applyFont="1"/>
    <xf numFmtId="0" fontId="17" fillId="0" borderId="0" xfId="0" applyFont="1"/>
    <xf numFmtId="44" fontId="17" fillId="0" borderId="0" xfId="1" applyFont="1"/>
    <xf numFmtId="0" fontId="16" fillId="10" borderId="0" xfId="8" applyFont="1" applyFill="1"/>
    <xf numFmtId="0" fontId="17" fillId="10" borderId="0" xfId="8" applyFont="1" applyFill="1"/>
    <xf numFmtId="44" fontId="17" fillId="10" borderId="0" xfId="1" applyFont="1" applyFill="1"/>
    <xf numFmtId="164" fontId="17" fillId="9" borderId="0" xfId="8" applyNumberFormat="1" applyFont="1" applyFill="1"/>
    <xf numFmtId="1" fontId="17" fillId="10" borderId="0" xfId="1" applyNumberFormat="1" applyFont="1" applyFill="1"/>
    <xf numFmtId="0" fontId="16" fillId="13" borderId="0" xfId="8" applyFont="1" applyFill="1"/>
    <xf numFmtId="164" fontId="17" fillId="14" borderId="0" xfId="8" applyNumberFormat="1" applyFont="1" applyFill="1"/>
    <xf numFmtId="44" fontId="17" fillId="13" borderId="0" xfId="1" applyFont="1" applyFill="1"/>
    <xf numFmtId="9" fontId="17" fillId="13" borderId="0" xfId="21" applyFont="1" applyFill="1"/>
    <xf numFmtId="1" fontId="17" fillId="0" borderId="0" xfId="1" applyNumberFormat="1" applyFont="1"/>
    <xf numFmtId="0" fontId="0" fillId="0" borderId="0" xfId="0" applyAlignment="1">
      <alignment horizontal="right"/>
    </xf>
    <xf numFmtId="0" fontId="16" fillId="0" borderId="0" xfId="0" applyFont="1"/>
    <xf numFmtId="44" fontId="17" fillId="0" borderId="0" xfId="0" applyNumberFormat="1" applyFont="1"/>
    <xf numFmtId="1" fontId="0" fillId="0" borderId="0" xfId="0" applyNumberFormat="1"/>
    <xf numFmtId="44" fontId="0" fillId="0" borderId="0" xfId="1" applyFont="1"/>
    <xf numFmtId="10" fontId="17" fillId="0" borderId="0" xfId="21" applyNumberFormat="1" applyFont="1"/>
    <xf numFmtId="44" fontId="0" fillId="4" borderId="0" xfId="22" applyFont="1" applyFill="1"/>
    <xf numFmtId="44" fontId="0" fillId="0" borderId="0" xfId="22" applyFont="1"/>
    <xf numFmtId="44" fontId="4" fillId="0" borderId="0" xfId="22" applyFont="1"/>
    <xf numFmtId="44" fontId="4" fillId="4" borderId="0" xfId="22" applyFont="1" applyFill="1"/>
    <xf numFmtId="44" fontId="3" fillId="0" borderId="0" xfId="22" applyFont="1"/>
    <xf numFmtId="0" fontId="4" fillId="0" borderId="0" xfId="0" applyFont="1"/>
    <xf numFmtId="2" fontId="0" fillId="0" borderId="0" xfId="0" applyNumberFormat="1"/>
    <xf numFmtId="0" fontId="0" fillId="0" borderId="0" xfId="0" applyAlignment="1">
      <alignment wrapText="1"/>
    </xf>
    <xf numFmtId="9" fontId="25" fillId="15" borderId="0" xfId="21" applyFont="1" applyFill="1"/>
    <xf numFmtId="1" fontId="17" fillId="0" borderId="0" xfId="0" applyNumberFormat="1" applyFont="1"/>
    <xf numFmtId="0" fontId="16" fillId="16" borderId="0" xfId="8" applyFont="1" applyFill="1"/>
    <xf numFmtId="0" fontId="17" fillId="16" borderId="0" xfId="8" applyFont="1" applyFill="1"/>
    <xf numFmtId="0" fontId="26" fillId="16" borderId="0" xfId="8" applyFont="1" applyFill="1"/>
    <xf numFmtId="44" fontId="17" fillId="16" borderId="0" xfId="1" applyFont="1" applyFill="1"/>
    <xf numFmtId="164" fontId="17" fillId="17" borderId="0" xfId="8" applyNumberFormat="1" applyFont="1" applyFill="1"/>
    <xf numFmtId="44" fontId="16" fillId="16" borderId="2" xfId="1" applyFont="1" applyFill="1" applyBorder="1"/>
    <xf numFmtId="164" fontId="23" fillId="18" borderId="0" xfId="8" applyNumberFormat="1" applyFont="1" applyFill="1"/>
    <xf numFmtId="164" fontId="19" fillId="18" borderId="0" xfId="8" applyNumberFormat="1" applyFont="1" applyFill="1"/>
    <xf numFmtId="164" fontId="16" fillId="18" borderId="0" xfId="8" applyNumberFormat="1" applyFont="1" applyFill="1"/>
    <xf numFmtId="0" fontId="24" fillId="10" borderId="0" xfId="8" applyFont="1" applyFill="1"/>
    <xf numFmtId="9" fontId="17" fillId="10" borderId="0" xfId="21" applyFont="1" applyFill="1"/>
    <xf numFmtId="2" fontId="17" fillId="10" borderId="0" xfId="1" applyNumberFormat="1" applyFont="1" applyFill="1"/>
    <xf numFmtId="164" fontId="17" fillId="18" borderId="0" xfId="8" applyNumberFormat="1" applyFont="1" applyFill="1"/>
    <xf numFmtId="0" fontId="17" fillId="10" borderId="0" xfId="0" applyFont="1" applyFill="1"/>
    <xf numFmtId="0" fontId="25" fillId="10" borderId="0" xfId="8" applyFont="1" applyFill="1" applyAlignment="1">
      <alignment wrapText="1"/>
    </xf>
    <xf numFmtId="44" fontId="16" fillId="10" borderId="0" xfId="1" applyFont="1" applyFill="1" applyBorder="1"/>
    <xf numFmtId="0" fontId="16" fillId="10" borderId="0" xfId="0" applyFont="1" applyFill="1"/>
    <xf numFmtId="0" fontId="17" fillId="10" borderId="0" xfId="8" applyFont="1" applyFill="1" applyAlignment="1">
      <alignment wrapText="1"/>
    </xf>
    <xf numFmtId="10" fontId="17" fillId="10" borderId="0" xfId="21" applyNumberFormat="1" applyFont="1" applyFill="1"/>
    <xf numFmtId="0" fontId="21" fillId="4" borderId="0" xfId="8" applyFont="1" applyFill="1" applyProtection="1">
      <protection locked="0"/>
    </xf>
    <xf numFmtId="0" fontId="20" fillId="4" borderId="0" xfId="8" applyFont="1" applyFill="1" applyProtection="1">
      <protection locked="0"/>
    </xf>
    <xf numFmtId="44" fontId="20" fillId="4" borderId="0" xfId="1" applyFont="1" applyFill="1" applyProtection="1">
      <protection locked="0"/>
    </xf>
    <xf numFmtId="0" fontId="20" fillId="0" borderId="0" xfId="8" applyFont="1" applyProtection="1">
      <protection locked="0"/>
    </xf>
    <xf numFmtId="0" fontId="21" fillId="0" borderId="0" xfId="8" applyFont="1" applyProtection="1">
      <protection locked="0"/>
    </xf>
    <xf numFmtId="0" fontId="20" fillId="0" borderId="0" xfId="8" applyFont="1" applyAlignment="1" applyProtection="1">
      <alignment horizontal="left"/>
      <protection locked="0"/>
    </xf>
    <xf numFmtId="4" fontId="20" fillId="0" borderId="0" xfId="8" applyNumberFormat="1" applyFont="1" applyProtection="1">
      <protection locked="0"/>
    </xf>
    <xf numFmtId="0" fontId="20" fillId="0" borderId="0" xfId="0" applyFont="1" applyProtection="1">
      <protection locked="0"/>
    </xf>
    <xf numFmtId="0" fontId="16" fillId="4" borderId="0" xfId="8" applyFont="1" applyFill="1" applyProtection="1">
      <protection locked="0"/>
    </xf>
    <xf numFmtId="0" fontId="17" fillId="4" borderId="0" xfId="8" applyFont="1" applyFill="1" applyProtection="1">
      <protection locked="0"/>
    </xf>
    <xf numFmtId="44" fontId="17" fillId="4" borderId="0" xfId="1" applyFont="1" applyFill="1" applyProtection="1">
      <protection locked="0"/>
    </xf>
    <xf numFmtId="0" fontId="17" fillId="0" borderId="0" xfId="8" applyFont="1" applyProtection="1">
      <protection locked="0"/>
    </xf>
    <xf numFmtId="0" fontId="16" fillId="0" borderId="0" xfId="8" applyFont="1" applyProtection="1">
      <protection locked="0"/>
    </xf>
    <xf numFmtId="0" fontId="17" fillId="0" borderId="0" xfId="8" applyFont="1" applyAlignment="1" applyProtection="1">
      <alignment horizontal="left"/>
      <protection locked="0"/>
    </xf>
    <xf numFmtId="4" fontId="17" fillId="0" borderId="0" xfId="8" applyNumberFormat="1" applyFont="1" applyProtection="1">
      <protection locked="0"/>
    </xf>
    <xf numFmtId="0" fontId="17" fillId="0" borderId="0" xfId="0" applyFont="1" applyProtection="1">
      <protection locked="0"/>
    </xf>
    <xf numFmtId="0" fontId="16" fillId="10" borderId="0" xfId="8" applyFont="1" applyFill="1" applyProtection="1">
      <protection locked="0"/>
    </xf>
    <xf numFmtId="0" fontId="17" fillId="10" borderId="0" xfId="8" applyFont="1" applyFill="1" applyProtection="1">
      <protection locked="0"/>
    </xf>
    <xf numFmtId="44" fontId="17" fillId="10" borderId="0" xfId="1" applyFont="1" applyFill="1" applyProtection="1">
      <protection locked="0"/>
    </xf>
    <xf numFmtId="1" fontId="17" fillId="10" borderId="0" xfId="1" applyNumberFormat="1" applyFont="1" applyFill="1" applyProtection="1">
      <protection locked="0"/>
    </xf>
    <xf numFmtId="0" fontId="22" fillId="10" borderId="0" xfId="8" applyFont="1" applyFill="1" applyProtection="1">
      <protection locked="0"/>
    </xf>
    <xf numFmtId="0" fontId="18" fillId="0" borderId="0" xfId="0" applyFont="1" applyProtection="1">
      <protection locked="0"/>
    </xf>
    <xf numFmtId="44" fontId="17" fillId="0" borderId="0" xfId="1" applyFont="1" applyProtection="1">
      <protection locked="0"/>
    </xf>
    <xf numFmtId="0" fontId="16" fillId="11" borderId="0" xfId="8" applyFont="1" applyFill="1" applyProtection="1">
      <protection locked="0"/>
    </xf>
    <xf numFmtId="165" fontId="17" fillId="12" borderId="0" xfId="21" applyNumberFormat="1" applyFont="1" applyFill="1" applyProtection="1">
      <protection locked="0"/>
    </xf>
    <xf numFmtId="44" fontId="17" fillId="11" borderId="0" xfId="1" applyFont="1" applyFill="1" applyProtection="1">
      <protection locked="0"/>
    </xf>
    <xf numFmtId="165" fontId="17" fillId="11" borderId="0" xfId="21" applyNumberFormat="1" applyFont="1" applyFill="1" applyProtection="1">
      <protection locked="0"/>
    </xf>
    <xf numFmtId="0" fontId="0" fillId="0" borderId="0" xfId="0" applyProtection="1">
      <protection locked="0"/>
    </xf>
    <xf numFmtId="0" fontId="16" fillId="19" borderId="0" xfId="8" applyFont="1" applyFill="1" applyProtection="1"/>
    <xf numFmtId="0" fontId="17" fillId="19" borderId="0" xfId="8" applyFont="1" applyFill="1" applyProtection="1"/>
    <xf numFmtId="44" fontId="17" fillId="19" borderId="0" xfId="1" applyFont="1" applyFill="1" applyProtection="1"/>
    <xf numFmtId="164" fontId="17" fillId="19" borderId="0" xfId="8" applyNumberFormat="1" applyFont="1" applyFill="1" applyProtection="1"/>
    <xf numFmtId="0" fontId="16" fillId="19" borderId="3" xfId="8" applyFont="1" applyFill="1" applyBorder="1" applyProtection="1"/>
    <xf numFmtId="0" fontId="17" fillId="19" borderId="3" xfId="8" applyFont="1" applyFill="1" applyBorder="1" applyProtection="1"/>
    <xf numFmtId="44" fontId="16" fillId="19" borderId="3" xfId="1" applyFont="1" applyFill="1" applyBorder="1" applyProtection="1"/>
    <xf numFmtId="0" fontId="0" fillId="19" borderId="0" xfId="0" applyFill="1"/>
    <xf numFmtId="1" fontId="0" fillId="19" borderId="0" xfId="0" applyNumberFormat="1" applyFill="1"/>
    <xf numFmtId="164" fontId="17" fillId="20" borderId="0" xfId="8" applyNumberFormat="1" applyFont="1" applyFill="1"/>
    <xf numFmtId="9" fontId="17" fillId="19" borderId="0" xfId="21" applyFont="1" applyFill="1"/>
    <xf numFmtId="44" fontId="17" fillId="19" borderId="0" xfId="1" applyFont="1" applyFill="1"/>
    <xf numFmtId="164" fontId="16" fillId="20" borderId="0" xfId="8" applyNumberFormat="1" applyFont="1" applyFill="1"/>
    <xf numFmtId="9" fontId="16" fillId="19" borderId="0" xfId="21" applyFont="1" applyFill="1"/>
    <xf numFmtId="44" fontId="16" fillId="19" borderId="0" xfId="1" applyFont="1" applyFill="1"/>
    <xf numFmtId="44" fontId="16" fillId="19" borderId="2" xfId="1" applyFont="1" applyFill="1" applyBorder="1"/>
    <xf numFmtId="0" fontId="17" fillId="19" borderId="0" xfId="0" applyFont="1" applyFill="1"/>
    <xf numFmtId="9" fontId="25" fillId="19" borderId="0" xfId="21" applyFont="1" applyFill="1"/>
    <xf numFmtId="44" fontId="18" fillId="19" borderId="0" xfId="1" applyFont="1" applyFill="1" applyAlignment="1">
      <alignment horizontal="center"/>
    </xf>
    <xf numFmtId="0" fontId="17" fillId="19" borderId="0" xfId="8" applyFont="1" applyFill="1"/>
    <xf numFmtId="0" fontId="16" fillId="19" borderId="0" xfId="8" applyFont="1" applyFill="1"/>
    <xf numFmtId="44" fontId="22" fillId="19" borderId="0" xfId="1" applyFont="1" applyFill="1"/>
    <xf numFmtId="44" fontId="0" fillId="19" borderId="0" xfId="0" applyNumberFormat="1" applyFill="1"/>
    <xf numFmtId="0" fontId="0" fillId="21" borderId="0" xfId="8" applyFont="1" applyFill="1"/>
    <xf numFmtId="0" fontId="3" fillId="19" borderId="0" xfId="8" applyFill="1"/>
    <xf numFmtId="0" fontId="4" fillId="19" borderId="0" xfId="8" applyFont="1" applyFill="1"/>
    <xf numFmtId="4" fontId="4" fillId="19" borderId="0" xfId="8" applyNumberFormat="1" applyFont="1" applyFill="1"/>
    <xf numFmtId="4" fontId="0" fillId="19" borderId="0" xfId="8" applyNumberFormat="1" applyFont="1" applyFill="1"/>
    <xf numFmtId="44" fontId="16" fillId="19" borderId="0" xfId="0" applyNumberFormat="1" applyFont="1" applyFill="1"/>
    <xf numFmtId="44" fontId="17" fillId="19" borderId="0" xfId="0" applyNumberFormat="1" applyFont="1" applyFill="1"/>
    <xf numFmtId="0" fontId="4" fillId="21" borderId="0" xfId="8" applyFont="1" applyFill="1" applyAlignment="1">
      <alignment horizontal="left"/>
    </xf>
    <xf numFmtId="44" fontId="0" fillId="21" borderId="0" xfId="1" applyFont="1" applyFill="1"/>
    <xf numFmtId="4" fontId="0" fillId="21" borderId="0" xfId="8" applyNumberFormat="1" applyFont="1" applyFill="1"/>
    <xf numFmtId="0" fontId="4" fillId="19" borderId="0" xfId="8" applyFont="1" applyFill="1" applyAlignment="1">
      <alignment horizontal="left"/>
    </xf>
    <xf numFmtId="44" fontId="0" fillId="19" borderId="0" xfId="1" applyFont="1" applyFill="1"/>
    <xf numFmtId="44" fontId="4" fillId="19" borderId="0" xfId="1" applyFont="1" applyFill="1"/>
    <xf numFmtId="0" fontId="0" fillId="19" borderId="0" xfId="8" applyFont="1" applyFill="1" applyAlignment="1">
      <alignment horizontal="left"/>
    </xf>
    <xf numFmtId="1" fontId="17" fillId="19" borderId="0" xfId="0" applyNumberFormat="1" applyFont="1" applyFill="1"/>
    <xf numFmtId="44" fontId="17" fillId="19" borderId="3" xfId="0" applyNumberFormat="1" applyFont="1" applyFill="1" applyBorder="1"/>
    <xf numFmtId="44" fontId="4" fillId="19" borderId="0" xfId="22" applyFont="1" applyFill="1"/>
    <xf numFmtId="9" fontId="4" fillId="19" borderId="0" xfId="21" applyFont="1" applyFill="1"/>
    <xf numFmtId="44" fontId="0" fillId="19" borderId="0" xfId="22" applyFont="1" applyFill="1"/>
    <xf numFmtId="44" fontId="3" fillId="19" borderId="0" xfId="22" applyFont="1" applyFill="1"/>
    <xf numFmtId="44" fontId="4" fillId="19" borderId="3" xfId="22" applyFont="1" applyFill="1" applyBorder="1"/>
    <xf numFmtId="44" fontId="4" fillId="19" borderId="3" xfId="1" applyFont="1" applyFill="1" applyBorder="1"/>
    <xf numFmtId="44" fontId="0" fillId="15" borderId="0" xfId="1" applyFont="1" applyFill="1"/>
    <xf numFmtId="0" fontId="27" fillId="19" borderId="0" xfId="0" applyFont="1" applyFill="1"/>
    <xf numFmtId="0" fontId="27" fillId="19" borderId="4" xfId="0" applyFont="1" applyFill="1" applyBorder="1"/>
    <xf numFmtId="1" fontId="27" fillId="19" borderId="4" xfId="0" applyNumberFormat="1" applyFont="1" applyFill="1" applyBorder="1"/>
    <xf numFmtId="44" fontId="27" fillId="19" borderId="4" xfId="22" applyFont="1" applyFill="1" applyBorder="1"/>
    <xf numFmtId="44" fontId="27" fillId="19" borderId="4" xfId="0" applyNumberFormat="1" applyFont="1" applyFill="1" applyBorder="1"/>
    <xf numFmtId="44" fontId="28" fillId="19" borderId="4" xfId="22" applyFont="1" applyFill="1" applyBorder="1"/>
  </cellXfs>
  <cellStyles count="23">
    <cellStyle name="Accent" xfId="3" xr:uid="{DCF4CBAE-ED25-4CCA-AD25-6046A245225B}"/>
    <cellStyle name="Accent 1" xfId="4" xr:uid="{5F236649-B0CE-4348-B1E1-C3A68425A9AF}"/>
    <cellStyle name="Accent 2" xfId="5" xr:uid="{BE247130-E471-4BA7-92DB-0FEF9A74F9AA}"/>
    <cellStyle name="Accent 3" xfId="6" xr:uid="{530CCFE5-1224-453C-9DA7-2B7630DA5A92}"/>
    <cellStyle name="Bad" xfId="7" xr:uid="{5CE2F8EC-7CF1-4556-86AC-8387E881547D}"/>
    <cellStyle name="Default" xfId="8" xr:uid="{5228994D-5287-4FE0-81C0-03B6C5A5367B}"/>
    <cellStyle name="Error" xfId="9" xr:uid="{1746BE9B-8A80-460F-AC26-80609D77909A}"/>
    <cellStyle name="Footnote" xfId="10" xr:uid="{5DDABFB5-FCEE-40D2-AA3F-69F54BEEED7F}"/>
    <cellStyle name="Good" xfId="11" xr:uid="{810888BA-586F-4D4D-AD6F-CFE2263B7855}"/>
    <cellStyle name="Heading" xfId="12" xr:uid="{84668ED4-0631-411E-9B38-B87CC66E222E}"/>
    <cellStyle name="Heading 1" xfId="13" xr:uid="{8FB50E36-08F2-4AA7-9B19-9E68417F3B82}"/>
    <cellStyle name="Heading 2" xfId="14" xr:uid="{3ECA311C-AFE3-462B-BDA8-784DE4B87DDC}"/>
    <cellStyle name="Hyperlink" xfId="15" xr:uid="{1B5E4698-6C26-4462-9F61-DBF19F08F452}"/>
    <cellStyle name="Neutral" xfId="2" builtinId="28" customBuiltin="1"/>
    <cellStyle name="Note" xfId="16" xr:uid="{F9001833-D39E-40F8-A29D-113193926C72}"/>
    <cellStyle name="Prozent" xfId="21" builtinId="5"/>
    <cellStyle name="Result" xfId="17" xr:uid="{161D5547-3C79-4FBE-96AE-381389B6A0EA}"/>
    <cellStyle name="Standard" xfId="0" builtinId="0" customBuiltin="1"/>
    <cellStyle name="Status" xfId="18" xr:uid="{DC66BEA4-0ACA-4686-AB52-42AD8583F4DD}"/>
    <cellStyle name="Text" xfId="19" xr:uid="{15845733-A58E-4EB7-93A2-8744BB24558B}"/>
    <cellStyle name="Währung" xfId="1" builtinId="4"/>
    <cellStyle name="Währung 2" xfId="22" xr:uid="{8677D35E-57E6-4860-BA2B-9E9E427B6F48}"/>
    <cellStyle name="Warning" xfId="20" xr:uid="{D1D50BB5-4B69-4DB7-8D19-E384E6165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761999</xdr:colOff>
      <xdr:row>11</xdr:row>
      <xdr:rowOff>19049</xdr:rowOff>
    </xdr:from>
    <xdr:to>
      <xdr:col>18</xdr:col>
      <xdr:colOff>390524</xdr:colOff>
      <xdr:row>62</xdr:row>
      <xdr:rowOff>57150</xdr:rowOff>
    </xdr:to>
    <xdr:sp macro="" textlink="">
      <xdr:nvSpPr>
        <xdr:cNvPr id="2" name="Textfeld 1">
          <a:extLst>
            <a:ext uri="{FF2B5EF4-FFF2-40B4-BE49-F238E27FC236}">
              <a16:creationId xmlns:a16="http://schemas.microsoft.com/office/drawing/2014/main" id="{D6B26E56-F533-80E1-6833-BC196C00A3CB}"/>
            </a:ext>
          </a:extLst>
        </xdr:cNvPr>
        <xdr:cNvSpPr txBox="1"/>
      </xdr:nvSpPr>
      <xdr:spPr>
        <a:xfrm>
          <a:off x="761999" y="1800224"/>
          <a:ext cx="13344525" cy="8296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rgbClr val="FF0000"/>
              </a:solidFill>
              <a:effectLst/>
              <a:latin typeface="Open Sans" panose="020B0606030504020204" pitchFamily="34" charset="0"/>
              <a:ea typeface="Open Sans" panose="020B0606030504020204" pitchFamily="34" charset="0"/>
              <a:cs typeface="Open Sans" panose="020B0606030504020204" pitchFamily="34" charset="0"/>
            </a:rPr>
            <a:t>Bitte unbedingt DIES zuerst lesen!</a:t>
          </a:r>
          <a:endParaRPr lang="de-DE" sz="1200">
            <a:solidFill>
              <a:srgbClr val="FF0000"/>
            </a:solidFill>
            <a:effectLst/>
            <a:latin typeface="Open Sans" panose="020B0606030504020204" pitchFamily="34" charset="0"/>
            <a:ea typeface="Open Sans" panose="020B0606030504020204" pitchFamily="34" charset="0"/>
            <a:cs typeface="Open Sans" panose="020B0606030504020204" pitchFamily="34" charset="0"/>
          </a:endParaRPr>
        </a:p>
        <a:p>
          <a:r>
            <a:rPr lang="de-DE"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Hallo und Moin,</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hier findest du ein Berechnungstool für die Investitionskosten und die laufenden Kosten zur Herstellung und Bewirtschaftung eines gemeinschaftlichen</a:t>
          </a: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Wohnprojektes im </a:t>
          </a:r>
          <a:r>
            <a:rPr lang="de-DE" sz="12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BESTAND</a:t>
          </a: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Die Datei ist mit Beispielzahlen gefüttert- dieses Beisspiel ist fiktiv. Schau es dir gerne an, um die Mechanik der Berechnungen zu verstehen. Dann füttetere die Tabellen mit den Zahlen zu deinem Wunsch- bzw. Traumprojekt. Weißt du einzelne Variablen nicht, schätze so gut du kannst. In die grauen Felder musst du nichts einfüllen, hier laufen automatische Berechnungen und du kannst Ergebnisse sehen.</a:t>
          </a:r>
        </a:p>
        <a:p>
          <a:pPr eaLnBrk="1" fontAlgn="auto" latinLnBrk="0" hangingPunct="1"/>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Damit du ein paar Varianten ausprobieren kannst, ist es am Anfang sinnvoll, wenn du dir diese Datei unter einem anderen Namen abspeicherst und nur eine </a:t>
          </a:r>
          <a:r>
            <a:rPr lang="de-DE" sz="1200" baseline="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Kopie zum Bearbeiten nutzt</a:t>
          </a: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so kannst du jederzeit wieder mit einer neuen Kopie beginnen.</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Wenn du wesentliche Parameter eingegeben hast, laufen verschiedene Berechnungen innerhalb des Programmes von allein. Alle Felder lassen sich aber auch überarbeiten und verändern. Sollte etwas durcheinander gehen, benutze einfach frische Kopie.</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Solltest du einen Fehler finden oder die Datei um etwas ergänzen, freuen wir uns über eine Rückmeldung und nehmen es gerne für alle auf.</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Angaben sowohl zu kommunalen Förderprogrammen in Bremen als auch für zinsbegünstigte Kredite der KFW entsprechen dem Stand des unten angegebenen Datums und sind nach bestem Wissen recherchiert. Für Fehler übernehmen wir keinerlei Haftung!</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Förderprogramme sind an Bedingungen gebunden. Das können energetischer Zustand, Wohnungsgröße, maximale Höhe der Bau- oder Modernisierungskosten, Vergleichsbaukosten und vieles mehr sein. Bitte macht euch schlau und recherchiert auf den Seiten der Bremer Aufbaubank (https://www.bab-bremen.de/de/page/wohnraumfoerderung) und der Kreditanstalt für Wiederaufbau (https://www.kfw.de/kfw.de.html). Alle Fördervoraussetzungen müssen zwingend eingehalten werden!</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Bedingungen können sich schnell und ohne Vorwarnung ändern. Es ist gut mit den bewilligenden Stellen (Behörde &amp; Kreditinstitut) im Gespräch zu sein und immer mal wieder nachzufragen.</a:t>
          </a:r>
        </a:p>
        <a:p>
          <a:pPr eaLnBrk="1" fontAlgn="auto" latinLnBrk="0" hangingPunct="1"/>
          <a:endParaRPr lang="de-DE" sz="1200">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Ein Thema, das hier nicht behandelt wird, aber in der Finanzierung eines Projektes auch von entscheidender Bedeutung ist, ist die Liquiditätsplanung: Wann fließt welches Geld/muss gezahlt werden und ab wann werden welche Einnahmen generiert. Seid bei euren Planungen auch für dieses Thema sensibel. Dies behandeln wir hier nicht. So sind auch die tilgungsfreien Anlaufjahre der KFW unberücksichtigt geblieben, die sind bei diesem Thema sehr wichtig.</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Auch die Frage nach Zinssätzen für die nötige Anschlussfinanzierung nach Ende der Zinsbindungsfrist wird in diesem Tool nicht behandelt, der einfachheithalber wird von weitergeschriebenen Zinskonditionen ausgegangen.</a:t>
          </a:r>
        </a:p>
        <a:p>
          <a:pPr eaLnBrk="1" fontAlgn="auto" latinLnBrk="0" hangingPunct="1"/>
          <a:endParaRPr lang="de-DE" sz="1200">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Für einen 1. Eindruck sollten die Möglichkeiten hier ausreichend sein.</a:t>
          </a:r>
        </a:p>
        <a:p>
          <a:pPr eaLnBrk="1" fontAlgn="auto" latinLnBrk="0" hangingPunct="1"/>
          <a:endPar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Beste Grüße und gute Ergebnisse,</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Petra Schultz-Adebahr für das Netzwerk Wohnprojekte Bremen und die Informations- und Beratungsstelle wohn.pro</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beratung@wohnprojekteBremen.de</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100">
              <a:solidFill>
                <a:schemeClr val="dk1"/>
              </a:solidFill>
              <a:effectLst/>
              <a:latin typeface="+mn-lt"/>
              <a:ea typeface="+mn-ea"/>
              <a:cs typeface="+mn-cs"/>
            </a:rPr>
            <a:t>Berechnung gemeinschaftliches Wohnprojekt  © 2026 by Netzwerk Wohnprojekte Bremen- P. Schultz-Adebahr is licensed under CC BY-NC 4.0. To view a copy of this license, visit https://creativecommons.org/licenses/by-nc/4.0/</a:t>
          </a:r>
          <a:endParaRPr lang="de-DE" sz="1200">
            <a:effectLst/>
          </a:endParaRPr>
        </a:p>
        <a:p>
          <a:r>
            <a:rPr lang="de-DE" sz="1100">
              <a:solidFill>
                <a:schemeClr val="dk1"/>
              </a:solidFill>
              <a:effectLst/>
              <a:latin typeface="+mn-lt"/>
              <a:ea typeface="+mn-ea"/>
              <a:cs typeface="+mn-cs"/>
            </a:rPr>
            <a:t>Version 1.2, 20.03.2026</a:t>
          </a:r>
          <a:endParaRPr lang="de-DE" sz="1200">
            <a:effectLst/>
          </a:endParaRPr>
        </a:p>
        <a:p>
          <a:endParaRPr lang="de-DE" sz="1100"/>
        </a:p>
      </xdr:txBody>
    </xdr:sp>
    <xdr:clientData/>
  </xdr:twoCellAnchor>
  <xdr:twoCellAnchor>
    <xdr:from>
      <xdr:col>10</xdr:col>
      <xdr:colOff>180975</xdr:colOff>
      <xdr:row>0</xdr:row>
      <xdr:rowOff>57150</xdr:rowOff>
    </xdr:from>
    <xdr:to>
      <xdr:col>12</xdr:col>
      <xdr:colOff>447675</xdr:colOff>
      <xdr:row>10</xdr:row>
      <xdr:rowOff>142875</xdr:rowOff>
    </xdr:to>
    <xdr:pic>
      <xdr:nvPicPr>
        <xdr:cNvPr id="3" name="Grafik 2">
          <a:extLst>
            <a:ext uri="{FF2B5EF4-FFF2-40B4-BE49-F238E27FC236}">
              <a16:creationId xmlns:a16="http://schemas.microsoft.com/office/drawing/2014/main" id="{E7C9C09E-CFC0-31C4-A244-09C0909140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0975" y="57150"/>
          <a:ext cx="179070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3B59-B06B-43E1-BABA-3056ACF4E051}">
  <dimension ref="A1"/>
  <sheetViews>
    <sheetView showGridLines="0" tabSelected="1" topLeftCell="A25" workbookViewId="0">
      <selection activeCell="Q29" sqref="Q29"/>
    </sheetView>
  </sheetViews>
  <sheetFormatPr baseColWidth="10" defaultRowHeight="12.5"/>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8B99-78A8-4C47-975B-A68CD1CD2A6E}">
  <dimension ref="A1:E17"/>
  <sheetViews>
    <sheetView workbookViewId="0">
      <selection activeCell="H9" sqref="H9"/>
    </sheetView>
  </sheetViews>
  <sheetFormatPr baseColWidth="10" defaultRowHeight="12.5"/>
  <cols>
    <col min="4" max="4" width="18" bestFit="1" customWidth="1"/>
    <col min="5" max="5" width="11.81640625" bestFit="1" customWidth="1"/>
  </cols>
  <sheetData>
    <row r="1" spans="1:5" ht="18">
      <c r="A1" s="102"/>
      <c r="B1" s="102" t="s">
        <v>106</v>
      </c>
      <c r="C1" s="102"/>
      <c r="D1" s="102"/>
      <c r="E1" s="102"/>
    </row>
    <row r="2" spans="1:5" ht="18">
      <c r="A2" s="102"/>
      <c r="B2" s="102"/>
      <c r="C2" s="102"/>
      <c r="D2" s="102"/>
      <c r="E2" s="102"/>
    </row>
    <row r="3" spans="1:5" ht="18">
      <c r="A3" s="102"/>
      <c r="B3" s="102" t="s">
        <v>101</v>
      </c>
      <c r="C3" s="123"/>
      <c r="D3" s="97">
        <f>Eigenmittel_Förderung!E7</f>
        <v>1080000</v>
      </c>
      <c r="E3" s="102"/>
    </row>
    <row r="4" spans="1:5" ht="18">
      <c r="A4" s="102"/>
      <c r="B4" s="102" t="s">
        <v>102</v>
      </c>
      <c r="C4" s="102"/>
      <c r="D4" s="115">
        <f>Eigenmittel_Förderung!E8</f>
        <v>150000</v>
      </c>
      <c r="E4" s="115"/>
    </row>
    <row r="5" spans="1:5" ht="18">
      <c r="A5" s="102"/>
      <c r="B5" s="102"/>
      <c r="C5" s="102"/>
      <c r="D5" s="115"/>
      <c r="E5" s="115"/>
    </row>
    <row r="6" spans="1:5" ht="18">
      <c r="A6" s="102"/>
      <c r="B6" s="102" t="s">
        <v>104</v>
      </c>
      <c r="C6" s="102"/>
      <c r="D6" s="115">
        <f>Eigenmittel_Förderung!E32</f>
        <v>750000</v>
      </c>
      <c r="E6" s="115"/>
    </row>
    <row r="7" spans="1:5" ht="18">
      <c r="A7" s="102"/>
      <c r="B7" s="102" t="s">
        <v>105</v>
      </c>
      <c r="C7" s="102"/>
      <c r="D7" s="115">
        <f>Eigenmittel_Förderung!E25</f>
        <v>150000</v>
      </c>
      <c r="E7" s="115"/>
    </row>
    <row r="8" spans="1:5" ht="18">
      <c r="A8" s="102"/>
      <c r="B8" s="102"/>
      <c r="C8" s="102"/>
      <c r="D8" s="102"/>
      <c r="E8" s="115"/>
    </row>
    <row r="9" spans="1:5" ht="18">
      <c r="A9" s="102"/>
      <c r="B9" s="102"/>
      <c r="C9" s="102"/>
      <c r="D9" s="102"/>
      <c r="E9" s="115"/>
    </row>
    <row r="10" spans="1:5" ht="18">
      <c r="A10" s="102"/>
      <c r="B10" s="102" t="s">
        <v>103</v>
      </c>
      <c r="C10" s="102"/>
      <c r="D10" s="115">
        <f>KFW!E19</f>
        <v>1560000</v>
      </c>
      <c r="E10" s="102"/>
    </row>
    <row r="11" spans="1:5" ht="18">
      <c r="A11" s="102"/>
      <c r="B11" s="102"/>
      <c r="C11" s="102"/>
      <c r="D11" s="115"/>
      <c r="E11" s="102"/>
    </row>
    <row r="12" spans="1:5" ht="18">
      <c r="A12" s="102"/>
      <c r="B12" s="102"/>
      <c r="C12" s="102"/>
      <c r="D12" s="102"/>
      <c r="E12" s="102"/>
    </row>
    <row r="13" spans="1:5" ht="18">
      <c r="A13" s="102"/>
      <c r="B13" s="102" t="s">
        <v>107</v>
      </c>
      <c r="C13" s="102"/>
      <c r="D13" s="115">
        <f>Fremdkapital!H4</f>
        <v>825500</v>
      </c>
      <c r="E13" s="102"/>
    </row>
    <row r="14" spans="1:5" ht="18">
      <c r="A14" s="102"/>
      <c r="B14" s="102"/>
      <c r="C14" s="102"/>
      <c r="D14" s="102"/>
      <c r="E14" s="102"/>
    </row>
    <row r="15" spans="1:5" ht="18">
      <c r="A15" s="102"/>
      <c r="B15" s="102"/>
      <c r="C15" s="102"/>
      <c r="D15" s="102"/>
      <c r="E15" s="102"/>
    </row>
    <row r="16" spans="1:5" ht="18.5" thickBot="1">
      <c r="A16" s="102"/>
      <c r="B16" s="102"/>
      <c r="C16" s="102"/>
      <c r="D16" s="124">
        <f>SUM(D3:D15)</f>
        <v>4515500</v>
      </c>
      <c r="E16" s="102"/>
    </row>
    <row r="17" spans="1:5" ht="18.5" thickTop="1">
      <c r="A17" s="102"/>
      <c r="B17" s="102"/>
      <c r="C17" s="102"/>
      <c r="D17" s="102"/>
      <c r="E17" s="102"/>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16A2-EE6C-43F6-9FCE-4F0320773155}">
  <dimension ref="A1:D28"/>
  <sheetViews>
    <sheetView workbookViewId="0">
      <selection activeCell="G15" sqref="G15"/>
    </sheetView>
  </sheetViews>
  <sheetFormatPr baseColWidth="10" defaultRowHeight="12.5"/>
  <cols>
    <col min="1" max="1" width="47.453125" customWidth="1"/>
    <col min="2" max="2" width="11" style="30" customWidth="1"/>
    <col min="3" max="3" width="11.81640625" style="30" bestFit="1" customWidth="1"/>
  </cols>
  <sheetData>
    <row r="1" spans="1:4" ht="13">
      <c r="A1" s="1" t="s">
        <v>0</v>
      </c>
      <c r="B1" s="32"/>
      <c r="C1" s="29"/>
      <c r="D1" s="2"/>
    </row>
    <row r="2" spans="1:4" ht="13">
      <c r="A2" s="111" t="s">
        <v>57</v>
      </c>
      <c r="B2" s="125"/>
      <c r="C2" s="125" t="s">
        <v>2</v>
      </c>
      <c r="D2" s="111" t="s">
        <v>3</v>
      </c>
    </row>
    <row r="3" spans="1:4" ht="13">
      <c r="A3" s="111" t="s">
        <v>58</v>
      </c>
      <c r="B3" s="126"/>
      <c r="C3" s="127">
        <f>Eigenmittel_Förderung!E10</f>
        <v>125</v>
      </c>
      <c r="D3" s="120">
        <f>C3/Wohnungen!$D$25</f>
        <v>0.11574074074074074</v>
      </c>
    </row>
    <row r="4" spans="1:4" ht="13">
      <c r="A4" s="111" t="s">
        <v>59</v>
      </c>
      <c r="B4" s="126"/>
      <c r="C4" s="127">
        <f>Eigenmittel_Förderung!E41</f>
        <v>2500</v>
      </c>
      <c r="D4" s="120">
        <f>C4/Wohnungen!$D$25</f>
        <v>2.3148148148148149</v>
      </c>
    </row>
    <row r="5" spans="1:4" ht="13">
      <c r="A5" s="111" t="s">
        <v>60</v>
      </c>
      <c r="B5" s="126"/>
      <c r="C5" s="127">
        <f>KFW!E28</f>
        <v>5824.2599999999993</v>
      </c>
      <c r="D5" s="120">
        <f>C5/Wohnungen!$D$25</f>
        <v>5.3928333333333329</v>
      </c>
    </row>
    <row r="6" spans="1:4" ht="13">
      <c r="A6" s="111" t="s">
        <v>61</v>
      </c>
      <c r="B6" s="126"/>
      <c r="C6" s="127">
        <f>Fremdkapital!E15</f>
        <v>3783.5416666666665</v>
      </c>
      <c r="D6" s="120">
        <f>C6/Wohnungen!$D$25</f>
        <v>3.5032793209876543</v>
      </c>
    </row>
    <row r="7" spans="1:4" ht="13">
      <c r="A7" s="111"/>
      <c r="B7" s="125"/>
      <c r="C7" s="127"/>
      <c r="D7" s="120"/>
    </row>
    <row r="8" spans="1:4" ht="13">
      <c r="A8" s="111" t="s">
        <v>11</v>
      </c>
      <c r="B8" s="125"/>
      <c r="C8" s="127">
        <f>SUM(C3:C7)</f>
        <v>12232.801666666664</v>
      </c>
      <c r="D8" s="120">
        <f>C8/Wohnungen!$D$25</f>
        <v>11.326668209876541</v>
      </c>
    </row>
    <row r="9" spans="1:4" ht="13">
      <c r="A9" s="111"/>
      <c r="B9" s="125"/>
      <c r="C9" s="127"/>
      <c r="D9" s="120"/>
    </row>
    <row r="10" spans="1:4" ht="13">
      <c r="A10" s="111"/>
      <c r="B10" s="125"/>
      <c r="C10" s="127"/>
      <c r="D10" s="120"/>
    </row>
    <row r="11" spans="1:4" ht="13">
      <c r="A11" s="111"/>
      <c r="B11" s="125"/>
      <c r="C11" s="127"/>
      <c r="D11" s="120"/>
    </row>
    <row r="12" spans="1:4" ht="13">
      <c r="A12" s="111" t="s">
        <v>62</v>
      </c>
      <c r="B12" s="125"/>
      <c r="C12" s="127"/>
      <c r="D12" s="120"/>
    </row>
    <row r="13" spans="1:4" ht="13">
      <c r="A13" s="111"/>
      <c r="B13" s="125"/>
      <c r="C13" s="127"/>
      <c r="D13" s="120"/>
    </row>
    <row r="14" spans="1:4" ht="13">
      <c r="A14" s="111" t="s">
        <v>63</v>
      </c>
      <c r="B14" s="125"/>
      <c r="C14" s="127">
        <f>'Investition Bestand'!C9</f>
        <v>1080</v>
      </c>
      <c r="D14" s="120">
        <f>C14/Wohnungen!$D$25</f>
        <v>1</v>
      </c>
    </row>
    <row r="15" spans="1:4" ht="13">
      <c r="A15" s="111" t="s">
        <v>64</v>
      </c>
      <c r="B15" s="125">
        <f>350/12</f>
        <v>29.166666666666668</v>
      </c>
      <c r="C15" s="127">
        <f>'Investition Bestand'!C11*B15</f>
        <v>525</v>
      </c>
      <c r="D15" s="120">
        <f>C15/Wohnungen!$D$25</f>
        <v>0.4861111111111111</v>
      </c>
    </row>
    <row r="16" spans="1:4">
      <c r="D16" s="131"/>
    </row>
    <row r="17" spans="1:4" ht="13">
      <c r="A17" s="4"/>
      <c r="B17" s="31"/>
      <c r="D17" s="131"/>
    </row>
    <row r="18" spans="1:4" ht="13">
      <c r="A18" s="4" t="s">
        <v>66</v>
      </c>
      <c r="B18" s="31"/>
      <c r="C18" s="30">
        <v>0</v>
      </c>
      <c r="D18" s="131">
        <f>C18/Wohnungen!$D$25</f>
        <v>0</v>
      </c>
    </row>
    <row r="19" spans="1:4" ht="13">
      <c r="A19" s="4"/>
      <c r="B19" s="31"/>
      <c r="D19" s="27"/>
    </row>
    <row r="20" spans="1:4" ht="13">
      <c r="A20" s="4"/>
      <c r="B20" s="31"/>
      <c r="C20" s="33"/>
      <c r="D20" s="27"/>
    </row>
    <row r="21" spans="1:4" ht="13">
      <c r="A21" s="111"/>
      <c r="B21" s="125"/>
      <c r="C21" s="128">
        <f>SUM(C14:C20)</f>
        <v>1605</v>
      </c>
      <c r="D21" s="120">
        <f>C21/Wohnungen!$D$25</f>
        <v>1.4861111111111112</v>
      </c>
    </row>
    <row r="22" spans="1:4" ht="13">
      <c r="A22" s="111"/>
      <c r="B22" s="125"/>
      <c r="C22" s="128"/>
      <c r="D22" s="120"/>
    </row>
    <row r="23" spans="1:4" ht="13">
      <c r="A23" s="111" t="s">
        <v>2</v>
      </c>
      <c r="B23" s="125"/>
      <c r="C23" s="125">
        <f>C8+C21</f>
        <v>13837.801666666664</v>
      </c>
      <c r="D23" s="120">
        <f>C23/Wohnungen!$D$25</f>
        <v>12.812779320987651</v>
      </c>
    </row>
    <row r="24" spans="1:4" ht="13">
      <c r="A24" s="111"/>
      <c r="B24" s="125"/>
      <c r="C24" s="128"/>
      <c r="D24" s="120"/>
    </row>
    <row r="25" spans="1:4" ht="13">
      <c r="A25" s="111" t="s">
        <v>65</v>
      </c>
      <c r="B25" s="126">
        <v>0.02</v>
      </c>
      <c r="C25" s="127">
        <f>C23*0.02</f>
        <v>276.75603333333328</v>
      </c>
      <c r="D25" s="120">
        <f>C25/Wohnungen!$D$25</f>
        <v>0.25625558641975305</v>
      </c>
    </row>
    <row r="26" spans="1:4" ht="13">
      <c r="A26" s="111"/>
      <c r="B26" s="125"/>
      <c r="C26" s="128"/>
      <c r="D26" s="120"/>
    </row>
    <row r="27" spans="1:4" ht="13.5" thickBot="1">
      <c r="A27" s="111"/>
      <c r="B27" s="125"/>
      <c r="C27" s="129">
        <f>C23+C25</f>
        <v>14114.557699999998</v>
      </c>
      <c r="D27" s="130">
        <f>C27/Wohnungen!$D$25</f>
        <v>13.069034907407405</v>
      </c>
    </row>
    <row r="28" spans="1:4" ht="13" thickTop="1"/>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0130-A0DE-4CA2-A90F-FD97FD9566F3}">
  <dimension ref="A1:I10"/>
  <sheetViews>
    <sheetView workbookViewId="0">
      <selection activeCell="F8" sqref="F8"/>
    </sheetView>
  </sheetViews>
  <sheetFormatPr baseColWidth="10" defaultRowHeight="12.5"/>
  <cols>
    <col min="5" max="5" width="15" customWidth="1"/>
    <col min="8" max="8" width="16.54296875" customWidth="1"/>
  </cols>
  <sheetData>
    <row r="1" spans="1:9" ht="15.5">
      <c r="A1" s="132" t="s">
        <v>50</v>
      </c>
      <c r="B1" s="132"/>
      <c r="C1" s="132"/>
      <c r="D1" s="132"/>
      <c r="E1" s="132"/>
      <c r="F1" s="132"/>
    </row>
    <row r="2" spans="1:9" ht="15.5">
      <c r="A2" s="132"/>
      <c r="B2" s="132"/>
      <c r="C2" s="132" t="s">
        <v>23</v>
      </c>
      <c r="D2" s="132"/>
      <c r="E2" s="132"/>
      <c r="F2" s="132"/>
    </row>
    <row r="3" spans="1:9" ht="15.5">
      <c r="A3" s="132"/>
      <c r="B3" s="133" t="s">
        <v>51</v>
      </c>
      <c r="C3" s="134">
        <f>Eigenmittel_Förderung!D28</f>
        <v>529</v>
      </c>
      <c r="D3" s="135">
        <f>Eigenmittel_Förderung!E45</f>
        <v>6.8</v>
      </c>
      <c r="E3" s="133"/>
      <c r="F3" s="132"/>
    </row>
    <row r="4" spans="1:9" ht="15.5">
      <c r="A4" s="132"/>
      <c r="B4" s="133"/>
      <c r="C4" s="133"/>
      <c r="D4" s="133"/>
      <c r="E4" s="136">
        <f>C3*D3</f>
        <v>3597.2</v>
      </c>
      <c r="F4" s="132" t="s">
        <v>52</v>
      </c>
    </row>
    <row r="5" spans="1:9" ht="18">
      <c r="A5" s="132"/>
      <c r="B5" s="133"/>
      <c r="C5" s="133"/>
      <c r="D5" s="133"/>
      <c r="E5" s="133"/>
      <c r="F5" s="132"/>
      <c r="H5" s="25"/>
      <c r="I5" s="11"/>
    </row>
    <row r="6" spans="1:9" ht="15.5">
      <c r="A6" s="132"/>
      <c r="B6" s="133"/>
      <c r="C6" s="133"/>
      <c r="D6" s="133"/>
      <c r="E6" s="133"/>
      <c r="F6" s="132"/>
    </row>
    <row r="7" spans="1:9" ht="15.5">
      <c r="A7" s="132"/>
      <c r="B7" s="133" t="s">
        <v>53</v>
      </c>
      <c r="C7" s="134">
        <f>Wohnungen!D30</f>
        <v>551</v>
      </c>
      <c r="D7" s="136">
        <f>(E10-E4)/C7</f>
        <v>19.087763520871139</v>
      </c>
      <c r="E7" s="136">
        <f>C7*D7</f>
        <v>10517.357699999997</v>
      </c>
      <c r="F7" s="132"/>
    </row>
    <row r="8" spans="1:9" ht="15.5">
      <c r="A8" s="132"/>
      <c r="B8" s="133"/>
      <c r="C8" s="133"/>
      <c r="D8" s="133"/>
      <c r="E8" s="133"/>
      <c r="F8" s="132"/>
    </row>
    <row r="9" spans="1:9" ht="15.5">
      <c r="A9" s="132"/>
      <c r="B9" s="133"/>
      <c r="C9" s="133"/>
      <c r="D9" s="133"/>
      <c r="E9" s="133"/>
      <c r="F9" s="132"/>
    </row>
    <row r="10" spans="1:9" ht="15.5">
      <c r="A10" s="132"/>
      <c r="B10" s="133" t="s">
        <v>2</v>
      </c>
      <c r="C10" s="134">
        <f>SUM(C3:C9)</f>
        <v>1080</v>
      </c>
      <c r="D10" s="137">
        <f>'Mntl. Kosten'!D27</f>
        <v>13.069034907407405</v>
      </c>
      <c r="E10" s="135">
        <f>C10*D10</f>
        <v>14114.557699999998</v>
      </c>
      <c r="F10" s="132"/>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DEEB2-A7DF-4F95-B269-D9DE4EDA239D}">
  <dimension ref="A1:R42"/>
  <sheetViews>
    <sheetView workbookViewId="0">
      <selection activeCell="C16" sqref="C16"/>
    </sheetView>
  </sheetViews>
  <sheetFormatPr baseColWidth="10" defaultColWidth="11.453125" defaultRowHeight="18"/>
  <cols>
    <col min="1" max="1" width="52.54296875" style="70" customWidth="1"/>
    <col min="2" max="2" width="37.54296875" style="69" customWidth="1"/>
    <col min="3" max="3" width="40.1796875" style="80" customWidth="1"/>
    <col min="4" max="4" width="7.26953125" style="69" customWidth="1"/>
    <col min="5" max="5" width="28.26953125" style="70" customWidth="1"/>
    <col min="6" max="6" width="12.1796875" style="69" customWidth="1"/>
    <col min="7" max="7" width="8" style="69" customWidth="1"/>
    <col min="8" max="8" width="6.81640625" style="69" customWidth="1"/>
    <col min="9" max="9" width="10.26953125" style="71" customWidth="1"/>
    <col min="10" max="10" width="14.453125" style="72" customWidth="1"/>
    <col min="11" max="11" width="11.54296875" style="72" customWidth="1"/>
    <col min="12" max="12" width="11.7265625" style="72" customWidth="1"/>
    <col min="13" max="13" width="10.1796875" style="72" customWidth="1"/>
    <col min="14" max="14" width="4.7265625" style="69" customWidth="1"/>
    <col min="15" max="18" width="12.1796875" style="69" customWidth="1"/>
    <col min="19" max="16384" width="11.453125" style="73"/>
  </cols>
  <sheetData>
    <row r="1" spans="1:18" s="65" customFormat="1" ht="29.5">
      <c r="A1" s="58" t="s">
        <v>16</v>
      </c>
      <c r="B1" s="59"/>
      <c r="C1" s="60"/>
      <c r="D1" s="61"/>
      <c r="E1" s="62"/>
      <c r="F1" s="61"/>
      <c r="G1" s="61"/>
      <c r="H1" s="61"/>
      <c r="I1" s="63"/>
      <c r="J1" s="64"/>
      <c r="K1" s="64"/>
      <c r="L1" s="64"/>
      <c r="M1" s="64"/>
      <c r="N1" s="61"/>
      <c r="O1" s="61"/>
      <c r="P1" s="61"/>
      <c r="Q1" s="61"/>
      <c r="R1" s="61"/>
    </row>
    <row r="2" spans="1:18">
      <c r="A2" s="66" t="s">
        <v>19</v>
      </c>
      <c r="B2" s="67"/>
      <c r="C2" s="68"/>
    </row>
    <row r="3" spans="1:18">
      <c r="A3" s="74"/>
      <c r="B3" s="75"/>
      <c r="C3" s="76"/>
    </row>
    <row r="4" spans="1:18">
      <c r="A4" s="74" t="s">
        <v>18</v>
      </c>
      <c r="B4" s="75"/>
      <c r="C4" s="76">
        <v>1500000</v>
      </c>
    </row>
    <row r="5" spans="1:18">
      <c r="A5" s="74" t="s">
        <v>20</v>
      </c>
      <c r="B5" s="75"/>
      <c r="C5" s="76">
        <v>2500000</v>
      </c>
    </row>
    <row r="6" spans="1:18">
      <c r="A6" s="74" t="s">
        <v>21</v>
      </c>
      <c r="B6" s="75"/>
      <c r="C6" s="76">
        <f>C4+C5</f>
        <v>4000000</v>
      </c>
    </row>
    <row r="7" spans="1:18">
      <c r="A7" s="74"/>
      <c r="B7" s="75" t="s">
        <v>40</v>
      </c>
      <c r="C7" s="77">
        <v>1350</v>
      </c>
      <c r="D7" s="69" t="s">
        <v>23</v>
      </c>
    </row>
    <row r="8" spans="1:18">
      <c r="A8" s="74"/>
      <c r="B8" s="78" t="s">
        <v>24</v>
      </c>
      <c r="C8" s="76"/>
    </row>
    <row r="9" spans="1:18">
      <c r="A9" s="74"/>
      <c r="B9" s="75" t="s">
        <v>26</v>
      </c>
      <c r="C9" s="77">
        <f>C7*0.8</f>
        <v>1080</v>
      </c>
      <c r="D9" s="69" t="s">
        <v>23</v>
      </c>
    </row>
    <row r="10" spans="1:18">
      <c r="A10" s="74"/>
      <c r="B10" s="78"/>
      <c r="C10" s="76"/>
    </row>
    <row r="11" spans="1:18">
      <c r="A11" s="74"/>
      <c r="B11" s="75" t="s">
        <v>42</v>
      </c>
      <c r="C11" s="77">
        <f>C9/60</f>
        <v>18</v>
      </c>
    </row>
    <row r="12" spans="1:18">
      <c r="A12" s="79" t="s">
        <v>22</v>
      </c>
    </row>
    <row r="13" spans="1:18">
      <c r="A13" s="81" t="s">
        <v>17</v>
      </c>
      <c r="B13" s="82">
        <v>5.5E-2</v>
      </c>
      <c r="C13" s="83">
        <f>($C$4*B13)</f>
        <v>82500</v>
      </c>
    </row>
    <row r="14" spans="1:18">
      <c r="A14" s="81" t="s">
        <v>38</v>
      </c>
      <c r="B14" s="84">
        <v>0.04</v>
      </c>
      <c r="C14" s="83"/>
    </row>
    <row r="15" spans="1:18">
      <c r="A15" s="81" t="s">
        <v>39</v>
      </c>
      <c r="B15" s="84">
        <v>1.4999999999999999E-2</v>
      </c>
      <c r="C15" s="83">
        <f>($C$4*B15)</f>
        <v>22500</v>
      </c>
    </row>
    <row r="18" spans="1:3">
      <c r="A18" s="86" t="s">
        <v>12</v>
      </c>
      <c r="B18" s="87"/>
      <c r="C18" s="88">
        <f>SUM(C6,C13,C14,C15)</f>
        <v>4105000</v>
      </c>
    </row>
    <row r="19" spans="1:3">
      <c r="A19" s="86" t="s">
        <v>13</v>
      </c>
      <c r="B19" s="89">
        <v>0.1</v>
      </c>
      <c r="C19" s="88">
        <f>C18*B19</f>
        <v>410500</v>
      </c>
    </row>
    <row r="20" spans="1:3" ht="18.5" thickBot="1">
      <c r="A20" s="90" t="s">
        <v>14</v>
      </c>
      <c r="B20" s="91"/>
      <c r="C20" s="92">
        <f>SUM(C18,C19)</f>
        <v>4515500</v>
      </c>
    </row>
    <row r="21" spans="1:3" ht="18.5" thickTop="1">
      <c r="A21" s="86"/>
      <c r="B21" s="87"/>
      <c r="C21" s="88"/>
    </row>
    <row r="22" spans="1:3">
      <c r="A22" s="93"/>
      <c r="B22" s="93" t="s">
        <v>80</v>
      </c>
      <c r="C22" s="88">
        <f>C20/C9</f>
        <v>4181.0185185185182</v>
      </c>
    </row>
    <row r="23" spans="1:3">
      <c r="A23" s="93"/>
      <c r="B23" s="93"/>
      <c r="C23" s="93"/>
    </row>
    <row r="24" spans="1:3">
      <c r="A24" s="93"/>
      <c r="B24" s="93" t="s">
        <v>81</v>
      </c>
      <c r="C24" s="88">
        <f>C5/C9</f>
        <v>2314.8148148148148</v>
      </c>
    </row>
    <row r="25" spans="1:3">
      <c r="A25" s="85"/>
      <c r="B25" s="85"/>
      <c r="C25" s="85"/>
    </row>
    <row r="26" spans="1:3">
      <c r="A26" s="85"/>
      <c r="B26" s="85"/>
      <c r="C26" s="85"/>
    </row>
    <row r="27" spans="1:3">
      <c r="A27" s="85"/>
      <c r="B27" s="85"/>
      <c r="C27" s="85"/>
    </row>
    <row r="28" spans="1:3">
      <c r="A28" s="85"/>
      <c r="B28" s="85"/>
      <c r="C28" s="85"/>
    </row>
    <row r="29" spans="1:3">
      <c r="A29" s="85"/>
      <c r="B29" s="85"/>
      <c r="C29" s="85"/>
    </row>
    <row r="30" spans="1:3">
      <c r="A30" s="85"/>
      <c r="B30" s="85"/>
      <c r="C30" s="85"/>
    </row>
    <row r="31" spans="1:3">
      <c r="A31" s="85"/>
      <c r="B31" s="85"/>
      <c r="C31" s="85"/>
    </row>
    <row r="32" spans="1:3">
      <c r="A32" s="85"/>
      <c r="B32" s="85"/>
      <c r="C32" s="85"/>
    </row>
    <row r="33" spans="1:3">
      <c r="A33" s="85"/>
      <c r="B33" s="85"/>
      <c r="C33" s="85"/>
    </row>
    <row r="34" spans="1:3">
      <c r="A34" s="85"/>
      <c r="B34" s="85"/>
      <c r="C34" s="85"/>
    </row>
    <row r="35" spans="1:3">
      <c r="A35" s="85"/>
      <c r="B35" s="85"/>
      <c r="C35" s="85"/>
    </row>
    <row r="36" spans="1:3">
      <c r="A36" s="85"/>
      <c r="B36" s="85"/>
      <c r="C36" s="85"/>
    </row>
    <row r="37" spans="1:3">
      <c r="A37" s="85"/>
      <c r="B37" s="85"/>
      <c r="C37" s="85"/>
    </row>
    <row r="38" spans="1:3">
      <c r="A38" s="85"/>
      <c r="B38" s="85"/>
      <c r="C38" s="85"/>
    </row>
    <row r="39" spans="1:3">
      <c r="A39" s="85"/>
      <c r="B39" s="85"/>
      <c r="C39" s="85"/>
    </row>
    <row r="40" spans="1:3">
      <c r="A40" s="85"/>
      <c r="B40" s="85"/>
      <c r="C40" s="85"/>
    </row>
    <row r="41" spans="1:3">
      <c r="A41" s="85"/>
      <c r="B41" s="85"/>
      <c r="C41" s="85"/>
    </row>
    <row r="42" spans="1:3">
      <c r="A42" s="85"/>
      <c r="B42" s="85"/>
      <c r="C42" s="85"/>
    </row>
  </sheetData>
  <sheetProtection selectLockedCells="1"/>
  <pageMargins left="0" right="0" top="0.39370078740157483" bottom="0.39370078740157483" header="0" footer="0"/>
  <headerFooter>
    <oddHeader>&amp;C&amp;A</oddHeader>
    <oddFooter>&amp;CSeite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FF55-5C70-4E44-96C0-DF287BFD4B15}">
  <dimension ref="A1:H32"/>
  <sheetViews>
    <sheetView workbookViewId="0">
      <selection activeCell="D25" sqref="D25"/>
    </sheetView>
  </sheetViews>
  <sheetFormatPr baseColWidth="10" defaultRowHeight="12.5"/>
  <cols>
    <col min="2" max="2" width="20" customWidth="1"/>
    <col min="4" max="4" width="14.453125" customWidth="1"/>
    <col min="5" max="5" width="18" customWidth="1"/>
  </cols>
  <sheetData>
    <row r="1" spans="1:8">
      <c r="B1" t="s">
        <v>67</v>
      </c>
    </row>
    <row r="3" spans="1:8" ht="25">
      <c r="C3" t="s">
        <v>44</v>
      </c>
      <c r="D3" t="s">
        <v>45</v>
      </c>
      <c r="E3" s="36" t="s">
        <v>69</v>
      </c>
      <c r="F3" t="s">
        <v>2</v>
      </c>
      <c r="H3" t="s">
        <v>70</v>
      </c>
    </row>
    <row r="4" spans="1:8">
      <c r="A4">
        <v>1</v>
      </c>
      <c r="C4" s="23">
        <v>2</v>
      </c>
      <c r="D4">
        <v>47</v>
      </c>
      <c r="E4" s="35">
        <f>D4/$D$25*$D$22</f>
        <v>1.7407407407407407</v>
      </c>
      <c r="F4" s="26">
        <f>D4+E4</f>
        <v>48.74074074074074</v>
      </c>
      <c r="H4">
        <f>D4</f>
        <v>47</v>
      </c>
    </row>
    <row r="5" spans="1:8">
      <c r="A5">
        <v>2</v>
      </c>
      <c r="C5">
        <v>5</v>
      </c>
      <c r="D5">
        <v>120</v>
      </c>
      <c r="E5" s="35">
        <f t="shared" ref="E5:E21" si="0">D5/$D$25*$D$22</f>
        <v>4.4444444444444446</v>
      </c>
      <c r="F5" s="26">
        <f t="shared" ref="F5:F21" si="1">D5+E5</f>
        <v>124.44444444444444</v>
      </c>
      <c r="H5">
        <f t="shared" ref="H5:H22" si="2">D5</f>
        <v>120</v>
      </c>
    </row>
    <row r="6" spans="1:8">
      <c r="A6">
        <v>3</v>
      </c>
      <c r="C6">
        <v>5</v>
      </c>
      <c r="D6">
        <v>120</v>
      </c>
      <c r="E6" s="35">
        <f t="shared" si="0"/>
        <v>4.4444444444444446</v>
      </c>
      <c r="F6" s="26">
        <f t="shared" si="1"/>
        <v>124.44444444444444</v>
      </c>
      <c r="H6">
        <f t="shared" si="2"/>
        <v>120</v>
      </c>
    </row>
    <row r="7" spans="1:8">
      <c r="A7">
        <v>4</v>
      </c>
      <c r="C7">
        <v>5</v>
      </c>
      <c r="D7">
        <v>120</v>
      </c>
      <c r="E7" s="35">
        <f t="shared" si="0"/>
        <v>4.4444444444444446</v>
      </c>
      <c r="F7" s="26">
        <f t="shared" si="1"/>
        <v>124.44444444444444</v>
      </c>
      <c r="H7">
        <f t="shared" si="2"/>
        <v>120</v>
      </c>
    </row>
    <row r="8" spans="1:8">
      <c r="A8">
        <v>5</v>
      </c>
      <c r="C8">
        <v>4</v>
      </c>
      <c r="D8">
        <v>108</v>
      </c>
      <c r="E8" s="35">
        <f t="shared" si="0"/>
        <v>4</v>
      </c>
      <c r="F8" s="26">
        <f t="shared" si="1"/>
        <v>112</v>
      </c>
      <c r="H8">
        <f t="shared" si="2"/>
        <v>108</v>
      </c>
    </row>
    <row r="9" spans="1:8">
      <c r="A9">
        <v>6</v>
      </c>
      <c r="C9">
        <v>3</v>
      </c>
      <c r="D9">
        <v>61</v>
      </c>
      <c r="E9" s="35">
        <f t="shared" si="0"/>
        <v>2.2592592592592591</v>
      </c>
      <c r="F9" s="26">
        <f t="shared" si="1"/>
        <v>63.25925925925926</v>
      </c>
      <c r="H9">
        <f t="shared" si="2"/>
        <v>61</v>
      </c>
    </row>
    <row r="10" spans="1:8">
      <c r="A10">
        <v>7</v>
      </c>
      <c r="C10">
        <v>1</v>
      </c>
      <c r="D10">
        <v>25</v>
      </c>
      <c r="E10" s="35">
        <f t="shared" si="0"/>
        <v>0.92592592592592582</v>
      </c>
      <c r="F10" s="26">
        <f t="shared" si="1"/>
        <v>25.925925925925927</v>
      </c>
      <c r="H10">
        <f t="shared" si="2"/>
        <v>25</v>
      </c>
    </row>
    <row r="11" spans="1:8">
      <c r="A11">
        <v>8</v>
      </c>
      <c r="C11">
        <v>1</v>
      </c>
      <c r="D11">
        <v>27</v>
      </c>
      <c r="E11" s="35">
        <f t="shared" si="0"/>
        <v>1</v>
      </c>
      <c r="F11" s="26">
        <f t="shared" si="1"/>
        <v>28</v>
      </c>
      <c r="H11">
        <f t="shared" si="2"/>
        <v>27</v>
      </c>
    </row>
    <row r="12" spans="1:8">
      <c r="A12">
        <v>9</v>
      </c>
      <c r="C12">
        <v>2</v>
      </c>
      <c r="D12">
        <v>48</v>
      </c>
      <c r="E12" s="35">
        <f t="shared" si="0"/>
        <v>1.7777777777777779</v>
      </c>
      <c r="F12" s="26">
        <f t="shared" si="1"/>
        <v>49.777777777777779</v>
      </c>
      <c r="H12">
        <f t="shared" si="2"/>
        <v>48</v>
      </c>
    </row>
    <row r="13" spans="1:8">
      <c r="A13">
        <v>10</v>
      </c>
      <c r="C13">
        <v>2</v>
      </c>
      <c r="D13">
        <v>48</v>
      </c>
      <c r="E13" s="35">
        <f t="shared" si="0"/>
        <v>1.7777777777777779</v>
      </c>
      <c r="F13" s="26">
        <f t="shared" si="1"/>
        <v>49.777777777777779</v>
      </c>
      <c r="H13">
        <f t="shared" si="2"/>
        <v>48</v>
      </c>
    </row>
    <row r="14" spans="1:8">
      <c r="A14">
        <v>11</v>
      </c>
      <c r="C14">
        <v>2</v>
      </c>
      <c r="D14">
        <v>48</v>
      </c>
      <c r="E14" s="35">
        <f t="shared" si="0"/>
        <v>1.7777777777777779</v>
      </c>
      <c r="F14" s="26">
        <f t="shared" si="1"/>
        <v>49.777777777777779</v>
      </c>
      <c r="H14">
        <f t="shared" si="2"/>
        <v>48</v>
      </c>
    </row>
    <row r="15" spans="1:8">
      <c r="A15">
        <v>12</v>
      </c>
      <c r="C15">
        <v>2</v>
      </c>
      <c r="D15">
        <v>48</v>
      </c>
      <c r="E15" s="35">
        <f t="shared" si="0"/>
        <v>1.7777777777777779</v>
      </c>
      <c r="F15" s="26">
        <f t="shared" si="1"/>
        <v>49.777777777777779</v>
      </c>
      <c r="H15">
        <f t="shared" si="2"/>
        <v>48</v>
      </c>
    </row>
    <row r="16" spans="1:8">
      <c r="A16">
        <v>13</v>
      </c>
      <c r="C16">
        <v>2</v>
      </c>
      <c r="D16">
        <v>54</v>
      </c>
      <c r="E16" s="35">
        <f t="shared" si="0"/>
        <v>2</v>
      </c>
      <c r="F16" s="26">
        <f t="shared" si="1"/>
        <v>56</v>
      </c>
      <c r="H16">
        <f t="shared" si="2"/>
        <v>54</v>
      </c>
    </row>
    <row r="17" spans="1:8">
      <c r="A17">
        <v>14</v>
      </c>
      <c r="C17">
        <v>2</v>
      </c>
      <c r="D17">
        <v>48</v>
      </c>
      <c r="E17" s="35">
        <f t="shared" si="0"/>
        <v>1.7777777777777779</v>
      </c>
      <c r="F17" s="26">
        <f t="shared" si="1"/>
        <v>49.777777777777779</v>
      </c>
      <c r="H17">
        <f t="shared" si="2"/>
        <v>48</v>
      </c>
    </row>
    <row r="18" spans="1:8">
      <c r="A18">
        <v>15</v>
      </c>
      <c r="C18">
        <v>1</v>
      </c>
      <c r="D18">
        <v>28</v>
      </c>
      <c r="E18" s="35">
        <f t="shared" si="0"/>
        <v>1.037037037037037</v>
      </c>
      <c r="F18" s="26">
        <f t="shared" si="1"/>
        <v>29.037037037037038</v>
      </c>
      <c r="H18">
        <f t="shared" si="2"/>
        <v>28</v>
      </c>
    </row>
    <row r="19" spans="1:8">
      <c r="A19">
        <v>16</v>
      </c>
      <c r="C19">
        <v>1</v>
      </c>
      <c r="D19">
        <v>30</v>
      </c>
      <c r="E19" s="35">
        <f t="shared" si="0"/>
        <v>1.1111111111111112</v>
      </c>
      <c r="F19" s="26">
        <f t="shared" si="1"/>
        <v>31.111111111111111</v>
      </c>
      <c r="H19">
        <f t="shared" si="2"/>
        <v>30</v>
      </c>
    </row>
    <row r="20" spans="1:8">
      <c r="A20">
        <v>17</v>
      </c>
      <c r="C20">
        <v>1</v>
      </c>
      <c r="D20">
        <v>30</v>
      </c>
      <c r="E20" s="35">
        <f t="shared" si="0"/>
        <v>1.1111111111111112</v>
      </c>
      <c r="F20" s="26">
        <f t="shared" si="1"/>
        <v>31.111111111111111</v>
      </c>
      <c r="H20">
        <f t="shared" si="2"/>
        <v>30</v>
      </c>
    </row>
    <row r="21" spans="1:8">
      <c r="A21">
        <v>18</v>
      </c>
      <c r="C21">
        <v>1</v>
      </c>
      <c r="D21">
        <v>30</v>
      </c>
      <c r="E21" s="35">
        <f t="shared" si="0"/>
        <v>1.1111111111111112</v>
      </c>
      <c r="F21" s="26">
        <f t="shared" si="1"/>
        <v>31.111111111111111</v>
      </c>
      <c r="H21">
        <f t="shared" si="2"/>
        <v>30</v>
      </c>
    </row>
    <row r="22" spans="1:8" ht="13">
      <c r="B22" s="34" t="s">
        <v>68</v>
      </c>
      <c r="C22" s="34">
        <v>1</v>
      </c>
      <c r="D22" s="34">
        <v>40</v>
      </c>
      <c r="H22">
        <f t="shared" si="2"/>
        <v>40</v>
      </c>
    </row>
    <row r="25" spans="1:8">
      <c r="C25">
        <f>SUM(C4:C24)</f>
        <v>43</v>
      </c>
      <c r="D25" s="94">
        <f>SUM(D4:D24)</f>
        <v>1080</v>
      </c>
      <c r="E25" s="26">
        <f t="shared" ref="E25:F25" si="3">SUM(E4:E24)</f>
        <v>38.51851851851854</v>
      </c>
      <c r="F25" s="26">
        <f t="shared" si="3"/>
        <v>1078.5185185185189</v>
      </c>
    </row>
    <row r="28" spans="1:8">
      <c r="C28" t="s">
        <v>51</v>
      </c>
      <c r="D28" s="26">
        <f>Eigenmittel_Förderung!D28</f>
        <v>529</v>
      </c>
    </row>
    <row r="30" spans="1:8">
      <c r="C30" t="s">
        <v>53</v>
      </c>
      <c r="D30" s="26">
        <f>D25-D28</f>
        <v>551</v>
      </c>
    </row>
    <row r="32" spans="1:8">
      <c r="B32" t="s">
        <v>42</v>
      </c>
      <c r="C32">
        <f>COUNT(A4:A21)</f>
        <v>18</v>
      </c>
    </row>
  </sheetData>
  <conditionalFormatting sqref="H4:H22">
    <cfRule type="colorScale" priority="1">
      <colorScale>
        <cfvo type="min"/>
        <cfvo type="percentile" val="50"/>
        <cfvo type="max"/>
        <color rgb="FF63BE7B"/>
        <color rgb="FFFFEB84"/>
        <color rgb="FFF8696B"/>
      </colorScale>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126D-EB41-443C-8CBD-EF2D5038B225}">
  <dimension ref="A4:T60"/>
  <sheetViews>
    <sheetView topLeftCell="A22" workbookViewId="0">
      <selection activeCell="B41" sqref="B41:E48"/>
    </sheetView>
  </sheetViews>
  <sheetFormatPr baseColWidth="10" defaultRowHeight="12.5"/>
  <cols>
    <col min="2" max="2" width="31" customWidth="1"/>
    <col min="3" max="4" width="28.7265625" customWidth="1"/>
    <col min="5" max="5" width="36.26953125" customWidth="1"/>
  </cols>
  <sheetData>
    <row r="4" spans="2:20" s="11" customFormat="1" ht="18">
      <c r="B4" s="18" t="s">
        <v>41</v>
      </c>
      <c r="C4" s="19">
        <v>0.2</v>
      </c>
      <c r="D4" s="19"/>
      <c r="E4" s="20">
        <f>'Investition Bestand'!C20*C4</f>
        <v>903100</v>
      </c>
      <c r="F4" s="7"/>
      <c r="G4" s="8"/>
      <c r="H4" s="7"/>
      <c r="I4" s="7"/>
      <c r="J4" s="7"/>
      <c r="K4" s="9"/>
      <c r="L4" s="10"/>
      <c r="M4" s="10"/>
      <c r="N4" s="10"/>
      <c r="O4" s="10"/>
      <c r="P4" s="7"/>
      <c r="Q4" s="7"/>
      <c r="R4" s="7"/>
      <c r="S4" s="7"/>
      <c r="T4" s="7"/>
    </row>
    <row r="5" spans="2:20" s="11" customFormat="1" ht="18">
      <c r="B5" s="18"/>
      <c r="C5" s="19" t="s">
        <v>25</v>
      </c>
      <c r="D5" s="19"/>
      <c r="E5" s="20">
        <f>E4/Wohnungen!D25</f>
        <v>836.2037037037037</v>
      </c>
      <c r="F5" s="7"/>
      <c r="G5" s="8"/>
      <c r="H5" s="7"/>
      <c r="I5" s="7"/>
      <c r="J5" s="7"/>
      <c r="K5" s="9"/>
      <c r="L5" s="10"/>
      <c r="M5" s="10"/>
      <c r="N5" s="10"/>
      <c r="O5" s="10"/>
      <c r="P5" s="7"/>
      <c r="Q5" s="7"/>
      <c r="R5" s="7"/>
      <c r="S5" s="7"/>
      <c r="T5" s="7"/>
    </row>
    <row r="6" spans="2:20" s="11" customFormat="1" ht="18">
      <c r="B6" s="18"/>
      <c r="C6" s="19"/>
      <c r="D6" s="19"/>
      <c r="E6" s="20"/>
      <c r="F6" s="7"/>
      <c r="G6" s="8"/>
      <c r="H6" s="7"/>
      <c r="I6" s="7"/>
      <c r="J6" s="7"/>
      <c r="K6" s="9"/>
      <c r="L6" s="10"/>
      <c r="M6" s="10"/>
      <c r="N6" s="10"/>
      <c r="O6" s="10"/>
      <c r="P6" s="7"/>
      <c r="Q6" s="7"/>
      <c r="R6" s="7"/>
      <c r="S6" s="7"/>
      <c r="T6" s="7"/>
    </row>
    <row r="7" spans="2:20" s="11" customFormat="1" ht="18">
      <c r="B7" s="19" t="s">
        <v>27</v>
      </c>
      <c r="C7" s="21">
        <v>0</v>
      </c>
      <c r="D7" s="20">
        <v>1000</v>
      </c>
      <c r="E7" s="20">
        <f>Wohnungen!D25*D7</f>
        <v>1080000</v>
      </c>
      <c r="F7" s="7" t="s">
        <v>100</v>
      </c>
      <c r="G7" s="8"/>
      <c r="H7" s="7"/>
      <c r="I7" s="7"/>
      <c r="J7" s="7"/>
      <c r="K7" s="9"/>
      <c r="L7" s="10"/>
      <c r="M7" s="10"/>
      <c r="N7" s="10"/>
      <c r="O7" s="10"/>
      <c r="P7" s="7"/>
      <c r="Q7" s="7"/>
      <c r="R7" s="7"/>
      <c r="S7" s="7"/>
      <c r="T7" s="7"/>
    </row>
    <row r="8" spans="2:20" s="11" customFormat="1" ht="18">
      <c r="B8" s="19" t="s">
        <v>28</v>
      </c>
      <c r="C8" s="21">
        <v>0.01</v>
      </c>
      <c r="D8" s="20">
        <v>25000</v>
      </c>
      <c r="E8" s="20">
        <v>150000</v>
      </c>
      <c r="F8" s="7" t="s">
        <v>46</v>
      </c>
      <c r="G8" s="8"/>
      <c r="H8" s="7"/>
      <c r="I8" s="7"/>
      <c r="J8" s="7"/>
      <c r="K8" s="9"/>
      <c r="L8" s="10"/>
      <c r="M8" s="10"/>
      <c r="N8" s="10"/>
      <c r="O8" s="10"/>
      <c r="P8" s="7"/>
      <c r="Q8" s="7"/>
      <c r="R8" s="7"/>
      <c r="S8" s="7"/>
      <c r="T8" s="7"/>
    </row>
    <row r="9" spans="2:20" s="11" customFormat="1" ht="18">
      <c r="B9" s="19" t="s">
        <v>28</v>
      </c>
      <c r="C9" s="21"/>
      <c r="D9" s="21"/>
      <c r="E9" s="20"/>
      <c r="F9" s="7"/>
      <c r="G9" s="8"/>
      <c r="H9" s="7"/>
      <c r="I9" s="7"/>
      <c r="J9" s="7"/>
      <c r="K9" s="9"/>
      <c r="L9" s="10"/>
      <c r="M9" s="10"/>
      <c r="N9" s="10"/>
      <c r="O9" s="10"/>
      <c r="P9" s="7"/>
      <c r="Q9" s="7"/>
      <c r="R9" s="7"/>
      <c r="S9" s="7"/>
      <c r="T9" s="7"/>
    </row>
    <row r="10" spans="2:20" s="11" customFormat="1" ht="18">
      <c r="B10" s="95" t="s">
        <v>37</v>
      </c>
      <c r="C10" s="96"/>
      <c r="D10" s="96"/>
      <c r="E10" s="97">
        <f>E8*0.01/12</f>
        <v>125</v>
      </c>
      <c r="F10" s="7"/>
      <c r="G10" s="8"/>
      <c r="H10" s="7"/>
      <c r="I10" s="7"/>
      <c r="J10" s="7"/>
      <c r="K10" s="9"/>
      <c r="L10" s="10"/>
      <c r="M10" s="10"/>
      <c r="N10" s="10"/>
      <c r="O10" s="10"/>
      <c r="P10" s="7"/>
      <c r="Q10" s="7"/>
      <c r="R10" s="7"/>
      <c r="S10" s="7"/>
      <c r="T10" s="7"/>
    </row>
    <row r="11" spans="2:20" s="11" customFormat="1" ht="18">
      <c r="B11" s="98" t="s">
        <v>36</v>
      </c>
      <c r="C11" s="99"/>
      <c r="D11" s="99"/>
      <c r="E11" s="100">
        <f>E10*12</f>
        <v>1500</v>
      </c>
      <c r="F11" s="7"/>
      <c r="G11" s="8"/>
      <c r="H11" s="7"/>
      <c r="I11" s="7"/>
      <c r="J11" s="7"/>
      <c r="K11" s="9"/>
      <c r="L11" s="10"/>
      <c r="M11" s="10"/>
      <c r="N11" s="10"/>
      <c r="O11" s="10"/>
      <c r="P11" s="7"/>
      <c r="Q11" s="7"/>
      <c r="R11" s="7"/>
      <c r="S11" s="7"/>
      <c r="T11" s="7"/>
    </row>
    <row r="12" spans="2:20" s="11" customFormat="1" ht="18">
      <c r="B12" s="95"/>
      <c r="C12" s="96"/>
      <c r="D12" s="96"/>
      <c r="E12" s="97"/>
      <c r="F12" s="7"/>
      <c r="G12" s="8"/>
      <c r="H12" s="7"/>
      <c r="I12" s="7"/>
      <c r="J12" s="7"/>
      <c r="K12" s="9"/>
      <c r="L12" s="10"/>
      <c r="M12" s="10"/>
      <c r="N12" s="10"/>
      <c r="O12" s="10"/>
      <c r="P12" s="7"/>
      <c r="Q12" s="7"/>
      <c r="R12" s="7"/>
      <c r="S12" s="7"/>
      <c r="T12" s="7"/>
    </row>
    <row r="13" spans="2:20" s="11" customFormat="1" ht="18">
      <c r="B13" s="95"/>
      <c r="C13" s="96"/>
      <c r="D13" s="96"/>
      <c r="E13" s="101">
        <f>SUM(E7:E9)</f>
        <v>1230000</v>
      </c>
      <c r="F13" s="7"/>
      <c r="G13" s="8"/>
      <c r="H13" s="7"/>
      <c r="I13" s="7"/>
      <c r="J13" s="7"/>
      <c r="K13" s="9"/>
      <c r="L13" s="10"/>
      <c r="M13" s="10"/>
      <c r="N13" s="10"/>
      <c r="O13" s="10"/>
      <c r="P13" s="7"/>
      <c r="Q13" s="7"/>
      <c r="R13" s="7"/>
      <c r="S13" s="7"/>
      <c r="T13" s="7"/>
    </row>
    <row r="14" spans="2:20" s="11" customFormat="1" ht="18">
      <c r="B14" s="95" t="s">
        <v>76</v>
      </c>
      <c r="C14" s="102"/>
      <c r="D14" s="96"/>
      <c r="E14" s="97">
        <f>E4-E13</f>
        <v>-326900</v>
      </c>
      <c r="F14" s="7"/>
      <c r="G14" s="8"/>
      <c r="H14" s="7"/>
      <c r="I14" s="7"/>
      <c r="J14" s="7"/>
      <c r="K14" s="9"/>
      <c r="L14" s="10"/>
      <c r="M14" s="10"/>
      <c r="N14" s="10"/>
      <c r="O14" s="10"/>
      <c r="P14" s="7"/>
      <c r="Q14" s="7"/>
      <c r="R14" s="7"/>
      <c r="S14" s="7"/>
      <c r="T14" s="7"/>
    </row>
    <row r="15" spans="2:20" s="11" customFormat="1" ht="18">
      <c r="B15" s="103" t="s">
        <v>77</v>
      </c>
      <c r="C15" s="95"/>
      <c r="D15" s="95"/>
      <c r="E15" s="104" t="str">
        <f>IF(E13&gt;E4,"SUPER, PASST!","da fehlt noch was")</f>
        <v>SUPER, PASST!</v>
      </c>
      <c r="F15" s="7"/>
      <c r="G15" s="8"/>
      <c r="H15" s="7"/>
      <c r="I15" s="7"/>
      <c r="J15" s="7"/>
      <c r="K15" s="9"/>
      <c r="L15" s="10"/>
      <c r="M15" s="10"/>
      <c r="N15" s="10"/>
      <c r="O15" s="10"/>
      <c r="P15" s="7"/>
      <c r="Q15" s="7"/>
      <c r="R15" s="7"/>
      <c r="S15" s="7"/>
      <c r="T15" s="7"/>
    </row>
    <row r="16" spans="2:20" s="11" customFormat="1" ht="18">
      <c r="B16" s="37"/>
      <c r="C16" s="16"/>
      <c r="D16" s="16"/>
      <c r="E16" s="12"/>
      <c r="F16" s="7"/>
      <c r="G16" s="8"/>
      <c r="H16" s="7"/>
      <c r="I16" s="7"/>
      <c r="J16" s="7"/>
      <c r="K16" s="9"/>
      <c r="L16" s="10"/>
      <c r="M16" s="10"/>
      <c r="N16" s="10"/>
      <c r="O16" s="10"/>
      <c r="P16" s="7"/>
      <c r="Q16" s="7"/>
      <c r="R16" s="7"/>
      <c r="S16" s="7"/>
      <c r="T16" s="7"/>
    </row>
    <row r="17" spans="2:20" s="11" customFormat="1" ht="18">
      <c r="B17" s="39" t="s">
        <v>29</v>
      </c>
      <c r="C17" s="40"/>
      <c r="D17" s="41" t="s">
        <v>78</v>
      </c>
      <c r="E17" s="42"/>
      <c r="F17" s="7"/>
      <c r="G17" s="8"/>
      <c r="H17" s="7"/>
      <c r="I17" s="7"/>
      <c r="J17" s="7"/>
      <c r="K17" s="9"/>
      <c r="L17" s="10"/>
      <c r="M17" s="10"/>
      <c r="N17" s="10"/>
      <c r="O17" s="10"/>
      <c r="P17" s="7"/>
      <c r="Q17" s="7"/>
      <c r="R17" s="7"/>
      <c r="S17" s="7"/>
      <c r="T17" s="7"/>
    </row>
    <row r="18" spans="2:20" s="11" customFormat="1" ht="18">
      <c r="B18" s="43" t="s">
        <v>30</v>
      </c>
      <c r="C18" s="40" t="s">
        <v>43</v>
      </c>
      <c r="D18" s="42"/>
      <c r="E18" s="44">
        <f>D18*'Investition Bestand'!C11</f>
        <v>0</v>
      </c>
      <c r="F18" s="7"/>
      <c r="G18" s="8"/>
      <c r="H18" s="7"/>
      <c r="I18" s="7"/>
      <c r="J18" s="7"/>
      <c r="K18" s="9"/>
      <c r="L18" s="10"/>
      <c r="M18" s="10"/>
      <c r="N18" s="10"/>
      <c r="O18" s="10"/>
      <c r="P18" s="7"/>
      <c r="Q18" s="7"/>
      <c r="R18" s="7"/>
      <c r="S18" s="7"/>
      <c r="T18" s="7"/>
    </row>
    <row r="19" spans="2:20" s="11" customFormat="1" ht="18">
      <c r="B19" s="16"/>
      <c r="C19" s="7"/>
      <c r="D19" s="12"/>
      <c r="E19" s="12"/>
      <c r="F19" s="7"/>
      <c r="G19" s="8"/>
      <c r="H19" s="7"/>
      <c r="I19" s="7"/>
      <c r="J19" s="7"/>
      <c r="K19" s="9"/>
      <c r="L19" s="10"/>
      <c r="M19" s="10"/>
      <c r="N19" s="10"/>
      <c r="O19" s="10"/>
      <c r="P19" s="7"/>
      <c r="Q19" s="7"/>
      <c r="R19" s="7"/>
      <c r="S19" s="7"/>
      <c r="T19" s="7"/>
    </row>
    <row r="20" spans="2:20" s="11" customFormat="1" ht="20.5">
      <c r="B20" s="45" t="s">
        <v>72</v>
      </c>
      <c r="C20" s="14"/>
      <c r="D20" s="14"/>
      <c r="E20" s="15"/>
      <c r="F20" s="7"/>
      <c r="G20" s="8"/>
      <c r="H20" s="7"/>
      <c r="I20" s="7"/>
      <c r="J20" s="7"/>
      <c r="K20" s="9"/>
      <c r="L20" s="10"/>
      <c r="M20" s="10"/>
      <c r="N20" s="10"/>
      <c r="O20" s="10"/>
      <c r="P20" s="7"/>
      <c r="Q20" s="7"/>
      <c r="R20" s="7"/>
      <c r="S20" s="7"/>
      <c r="T20" s="7"/>
    </row>
    <row r="21" spans="2:20" s="11" customFormat="1" ht="18">
      <c r="B21" s="46" t="s">
        <v>73</v>
      </c>
      <c r="C21" s="14"/>
      <c r="D21" s="14"/>
      <c r="E21" s="15"/>
      <c r="F21" s="7"/>
      <c r="G21" s="8"/>
      <c r="H21" s="7"/>
      <c r="I21" s="7"/>
      <c r="J21" s="7"/>
      <c r="K21" s="9"/>
      <c r="L21" s="10"/>
      <c r="M21" s="10"/>
      <c r="N21" s="10"/>
      <c r="O21" s="10"/>
      <c r="P21" s="7"/>
      <c r="Q21" s="7"/>
      <c r="R21" s="7"/>
      <c r="S21" s="7"/>
      <c r="T21" s="7"/>
    </row>
    <row r="22" spans="2:20" s="11" customFormat="1" ht="18">
      <c r="B22" s="47" t="s">
        <v>71</v>
      </c>
      <c r="C22" s="14"/>
      <c r="D22" s="14"/>
      <c r="E22" s="15"/>
      <c r="F22" s="7"/>
      <c r="G22" s="8"/>
      <c r="H22" s="7"/>
      <c r="I22" s="7"/>
      <c r="J22" s="7"/>
      <c r="K22" s="9"/>
      <c r="L22" s="10"/>
      <c r="M22" s="10"/>
      <c r="N22" s="10"/>
      <c r="O22" s="10"/>
      <c r="P22" s="7"/>
      <c r="Q22" s="7"/>
      <c r="R22" s="7"/>
      <c r="S22" s="7"/>
      <c r="T22" s="7"/>
    </row>
    <row r="23" spans="2:20" s="11" customFormat="1" ht="18">
      <c r="B23" s="47" t="s">
        <v>30</v>
      </c>
      <c r="C23" s="48" t="s">
        <v>75</v>
      </c>
      <c r="D23" s="49">
        <v>0.3</v>
      </c>
      <c r="E23" s="50">
        <f>'Investition Bestand'!C11*0.3</f>
        <v>5.3999999999999995</v>
      </c>
      <c r="F23" s="7"/>
      <c r="G23" s="8"/>
      <c r="H23" s="7"/>
      <c r="I23" s="7"/>
      <c r="J23" s="7"/>
      <c r="K23" s="9"/>
      <c r="L23" s="10"/>
      <c r="M23" s="10"/>
      <c r="N23" s="10"/>
      <c r="O23" s="10"/>
      <c r="P23" s="7"/>
      <c r="Q23" s="7"/>
      <c r="R23" s="7"/>
      <c r="S23" s="7"/>
      <c r="T23" s="7"/>
    </row>
    <row r="24" spans="2:20" s="11" customFormat="1" ht="18">
      <c r="B24" s="51"/>
      <c r="C24" s="14" t="s">
        <v>74</v>
      </c>
      <c r="D24" s="52"/>
      <c r="E24" s="17">
        <f>ROUNDDOWN(E23,0)</f>
        <v>5</v>
      </c>
      <c r="F24" s="7"/>
      <c r="G24" s="8"/>
      <c r="H24" s="7"/>
      <c r="I24" s="7"/>
      <c r="J24" s="7"/>
      <c r="K24" s="9"/>
      <c r="L24" s="10"/>
      <c r="M24" s="10"/>
      <c r="N24" s="10"/>
      <c r="O24" s="10"/>
      <c r="P24" s="7"/>
      <c r="Q24" s="7"/>
      <c r="R24" s="7"/>
      <c r="S24" s="7"/>
      <c r="T24" s="7"/>
    </row>
    <row r="25" spans="2:20" s="11" customFormat="1" ht="25.5">
      <c r="B25" s="51"/>
      <c r="C25" s="53" t="s">
        <v>84</v>
      </c>
      <c r="D25" s="15">
        <v>30000</v>
      </c>
      <c r="E25" s="101">
        <f>ROUNDDOWN(E23,0)*D25</f>
        <v>150000</v>
      </c>
      <c r="F25" s="7"/>
      <c r="G25" s="8"/>
      <c r="H25" s="7"/>
      <c r="I25" s="7"/>
      <c r="J25" s="7"/>
      <c r="K25" s="9"/>
      <c r="L25" s="10"/>
      <c r="M25" s="10"/>
      <c r="N25" s="10"/>
      <c r="O25" s="10"/>
      <c r="P25" s="7"/>
      <c r="Q25" s="7"/>
      <c r="R25" s="7"/>
      <c r="S25" s="7"/>
      <c r="T25" s="7"/>
    </row>
    <row r="26" spans="2:20" s="11" customFormat="1" ht="18">
      <c r="B26" s="51"/>
      <c r="C26" s="14"/>
      <c r="D26" s="15"/>
      <c r="E26" s="54"/>
      <c r="F26" s="7"/>
      <c r="G26" s="8"/>
      <c r="H26" s="7"/>
      <c r="I26" s="7"/>
      <c r="J26" s="7"/>
      <c r="K26" s="9"/>
      <c r="L26" s="10"/>
      <c r="M26" s="10"/>
      <c r="N26" s="10"/>
      <c r="O26" s="10"/>
      <c r="P26" s="7"/>
      <c r="Q26" s="7"/>
      <c r="R26" s="7"/>
      <c r="S26" s="7"/>
      <c r="T26" s="7"/>
    </row>
    <row r="27" spans="2:20" s="11" customFormat="1" ht="18">
      <c r="B27" s="51"/>
      <c r="C27" s="14"/>
      <c r="D27" s="15"/>
      <c r="E27" s="54"/>
      <c r="F27" s="7"/>
      <c r="G27" s="8"/>
      <c r="H27" s="7"/>
      <c r="I27" s="7"/>
      <c r="J27" s="7"/>
      <c r="K27" s="9"/>
      <c r="L27" s="10"/>
      <c r="M27" s="10"/>
      <c r="N27" s="10"/>
      <c r="O27" s="10"/>
      <c r="P27" s="7"/>
      <c r="Q27" s="7"/>
      <c r="R27" s="7"/>
      <c r="S27" s="7"/>
      <c r="T27" s="7"/>
    </row>
    <row r="28" spans="2:20" s="11" customFormat="1" ht="18">
      <c r="B28" s="51"/>
      <c r="C28" s="14" t="s">
        <v>48</v>
      </c>
      <c r="D28" s="17">
        <v>529</v>
      </c>
      <c r="E28" s="52"/>
      <c r="F28" s="7"/>
      <c r="G28" s="8"/>
      <c r="H28" s="7"/>
      <c r="I28" s="7"/>
      <c r="J28" s="7"/>
      <c r="K28" s="9"/>
      <c r="L28" s="10"/>
      <c r="M28" s="10"/>
      <c r="N28" s="10"/>
      <c r="O28" s="10"/>
      <c r="P28" s="7"/>
      <c r="Q28" s="7"/>
      <c r="R28" s="7"/>
      <c r="S28" s="7"/>
      <c r="T28" s="7"/>
    </row>
    <row r="29" spans="2:20" s="11" customFormat="1" ht="18">
      <c r="B29" s="51"/>
      <c r="C29" s="14"/>
      <c r="D29" s="17"/>
      <c r="E29" s="55" t="s">
        <v>79</v>
      </c>
      <c r="F29" s="7"/>
      <c r="G29" s="8"/>
      <c r="H29" s="7"/>
      <c r="I29" s="7"/>
      <c r="J29" s="7"/>
      <c r="K29" s="9"/>
      <c r="L29" s="10"/>
      <c r="M29" s="10"/>
      <c r="N29" s="10"/>
      <c r="O29" s="10"/>
      <c r="P29" s="7"/>
      <c r="Q29" s="7"/>
      <c r="R29" s="7"/>
      <c r="S29" s="7"/>
      <c r="T29" s="7"/>
    </row>
    <row r="30" spans="2:20" s="11" customFormat="1" ht="18">
      <c r="B30" s="51" t="s">
        <v>35</v>
      </c>
      <c r="C30" s="14" t="s">
        <v>45</v>
      </c>
      <c r="D30" s="15">
        <f>'Investition Bestand'!C24</f>
        <v>2314.8148148148148</v>
      </c>
      <c r="E30" s="15">
        <f>D28*D30*0.8</f>
        <v>979629.62962962966</v>
      </c>
      <c r="F30" s="7"/>
      <c r="G30" s="8"/>
      <c r="H30" s="7"/>
      <c r="I30" s="7"/>
      <c r="J30" s="7"/>
      <c r="K30" s="9"/>
      <c r="L30" s="10"/>
      <c r="M30" s="10"/>
      <c r="N30" s="10"/>
      <c r="O30" s="10"/>
      <c r="P30" s="7"/>
      <c r="Q30" s="7"/>
      <c r="R30" s="7"/>
      <c r="S30" s="7"/>
      <c r="T30" s="7"/>
    </row>
    <row r="31" spans="2:20" s="11" customFormat="1" ht="36">
      <c r="B31" s="51"/>
      <c r="C31" s="56" t="s">
        <v>85</v>
      </c>
      <c r="D31" s="15">
        <v>150000</v>
      </c>
      <c r="E31" s="15">
        <f>D31*E24</f>
        <v>750000</v>
      </c>
      <c r="F31" s="7"/>
      <c r="G31" s="8"/>
      <c r="H31" s="7"/>
      <c r="I31" s="7"/>
      <c r="J31" s="7"/>
      <c r="K31" s="9"/>
      <c r="L31" s="10"/>
      <c r="M31" s="10"/>
      <c r="N31" s="10"/>
      <c r="O31" s="10"/>
      <c r="P31" s="7"/>
      <c r="Q31" s="7"/>
      <c r="R31" s="7"/>
      <c r="S31" s="7"/>
      <c r="T31" s="7"/>
    </row>
    <row r="32" spans="2:20" s="11" customFormat="1" ht="18">
      <c r="B32" s="95" t="s">
        <v>86</v>
      </c>
      <c r="C32" s="105"/>
      <c r="D32" s="97"/>
      <c r="E32" s="100">
        <f>IF(E31&lt;(D28*D30),E31,E30)</f>
        <v>750000</v>
      </c>
      <c r="F32" s="7"/>
      <c r="G32" s="8"/>
      <c r="H32" s="7"/>
      <c r="I32" s="7"/>
      <c r="J32" s="7"/>
      <c r="K32" s="9"/>
      <c r="L32" s="10"/>
      <c r="M32" s="10"/>
      <c r="N32" s="10"/>
      <c r="O32" s="10"/>
      <c r="P32" s="7"/>
      <c r="Q32" s="7"/>
      <c r="R32" s="7"/>
      <c r="S32" s="7"/>
      <c r="T32" s="7"/>
    </row>
    <row r="33" spans="1:20" s="11" customFormat="1" ht="18">
      <c r="B33" s="95"/>
      <c r="C33" s="105"/>
      <c r="D33" s="97"/>
      <c r="E33" s="100"/>
      <c r="F33" s="7"/>
      <c r="G33" s="8"/>
      <c r="H33" s="7"/>
      <c r="I33" s="7"/>
      <c r="J33" s="7"/>
      <c r="K33" s="9"/>
      <c r="L33" s="10"/>
      <c r="M33" s="10"/>
      <c r="N33" s="10"/>
      <c r="O33" s="10"/>
      <c r="P33" s="7"/>
      <c r="Q33" s="7"/>
      <c r="R33" s="7"/>
      <c r="S33" s="7"/>
      <c r="T33" s="7"/>
    </row>
    <row r="34" spans="1:20" ht="18">
      <c r="B34" s="95" t="s">
        <v>82</v>
      </c>
      <c r="C34" s="93"/>
      <c r="D34" s="93"/>
      <c r="E34" s="101">
        <f>E25+E32</f>
        <v>900000</v>
      </c>
    </row>
    <row r="35" spans="1:20" s="11" customFormat="1" ht="18">
      <c r="B35" s="51"/>
      <c r="C35" s="14"/>
      <c r="D35" s="15"/>
      <c r="E35" s="15"/>
      <c r="F35" s="7"/>
      <c r="G35" s="8"/>
      <c r="H35" s="7"/>
      <c r="I35" s="7"/>
      <c r="J35" s="7"/>
      <c r="K35" s="9"/>
      <c r="L35" s="10"/>
      <c r="M35" s="10"/>
      <c r="N35" s="10"/>
      <c r="O35" s="10"/>
      <c r="P35" s="7"/>
      <c r="Q35" s="7"/>
      <c r="R35" s="7"/>
      <c r="S35" s="7"/>
      <c r="T35" s="7"/>
    </row>
    <row r="36" spans="1:20" s="11" customFormat="1" ht="18">
      <c r="B36" s="13" t="s">
        <v>83</v>
      </c>
      <c r="C36" s="14" t="s">
        <v>31</v>
      </c>
      <c r="D36" s="14"/>
      <c r="E36" s="57">
        <v>0</v>
      </c>
      <c r="F36" s="7"/>
      <c r="G36" s="8"/>
      <c r="H36" s="7"/>
      <c r="I36" s="7"/>
      <c r="J36" s="7"/>
      <c r="K36" s="9"/>
      <c r="L36" s="10"/>
      <c r="M36" s="10"/>
      <c r="N36" s="10"/>
      <c r="O36" s="10"/>
      <c r="P36" s="7"/>
      <c r="Q36" s="7"/>
      <c r="R36" s="7"/>
      <c r="S36" s="7"/>
      <c r="T36" s="7"/>
    </row>
    <row r="37" spans="1:20" s="11" customFormat="1" ht="18">
      <c r="B37" s="13"/>
      <c r="C37" s="14" t="s">
        <v>32</v>
      </c>
      <c r="D37" s="14"/>
      <c r="E37" s="17">
        <v>20</v>
      </c>
      <c r="F37" s="7" t="s">
        <v>34</v>
      </c>
      <c r="G37" s="8"/>
      <c r="H37" s="7"/>
      <c r="I37" s="7"/>
      <c r="J37" s="7"/>
      <c r="K37" s="9"/>
      <c r="L37" s="10"/>
      <c r="M37" s="10"/>
      <c r="N37" s="10"/>
      <c r="O37" s="10"/>
      <c r="P37" s="7"/>
      <c r="Q37" s="7"/>
      <c r="R37" s="7"/>
      <c r="S37" s="7"/>
      <c r="T37" s="7"/>
    </row>
    <row r="38" spans="1:20" s="11" customFormat="1" ht="18">
      <c r="B38" s="13"/>
      <c r="C38" s="52" t="s">
        <v>33</v>
      </c>
      <c r="D38" s="52"/>
      <c r="E38" s="57">
        <v>3.3300000000000003E-2</v>
      </c>
      <c r="F38" s="7"/>
      <c r="G38" s="8"/>
      <c r="H38" s="7"/>
      <c r="I38" s="7"/>
      <c r="J38" s="7"/>
      <c r="K38" s="9"/>
      <c r="L38" s="10"/>
      <c r="M38" s="10"/>
      <c r="N38" s="10"/>
      <c r="O38" s="10"/>
      <c r="P38" s="7"/>
      <c r="Q38" s="7"/>
      <c r="R38" s="7"/>
      <c r="S38" s="7"/>
      <c r="T38" s="7"/>
    </row>
    <row r="39" spans="1:20" s="11" customFormat="1" ht="18">
      <c r="B39" s="13"/>
      <c r="C39" s="14" t="s">
        <v>15</v>
      </c>
      <c r="D39" s="14"/>
      <c r="E39" s="17">
        <v>30</v>
      </c>
      <c r="F39" s="7" t="s">
        <v>34</v>
      </c>
      <c r="G39" s="8"/>
      <c r="H39" s="7"/>
      <c r="I39" s="7"/>
      <c r="J39" s="7"/>
      <c r="K39" s="9"/>
      <c r="L39" s="10"/>
      <c r="M39" s="10"/>
      <c r="N39" s="10"/>
      <c r="O39" s="10"/>
      <c r="P39" s="7"/>
      <c r="Q39" s="7"/>
      <c r="R39" s="7"/>
      <c r="S39" s="7"/>
      <c r="T39" s="7"/>
    </row>
    <row r="40" spans="1:20" s="11" customFormat="1" ht="18">
      <c r="B40" s="13"/>
      <c r="C40" s="14"/>
      <c r="D40" s="14"/>
      <c r="E40" s="17"/>
      <c r="F40" s="7"/>
      <c r="G40" s="8"/>
      <c r="H40" s="7"/>
      <c r="I40" s="7"/>
      <c r="J40" s="7"/>
      <c r="K40" s="9"/>
      <c r="L40" s="10"/>
      <c r="M40" s="10"/>
      <c r="N40" s="10"/>
      <c r="O40" s="10"/>
      <c r="P40" s="7"/>
      <c r="Q40" s="7"/>
      <c r="R40" s="7"/>
      <c r="S40" s="7"/>
      <c r="T40" s="7"/>
    </row>
    <row r="41" spans="1:20" s="11" customFormat="1" ht="18">
      <c r="B41" s="105" t="s">
        <v>37</v>
      </c>
      <c r="C41" s="105"/>
      <c r="D41" s="105"/>
      <c r="E41" s="97">
        <f>E34/30/12</f>
        <v>2500</v>
      </c>
      <c r="F41" s="7"/>
      <c r="G41" s="8"/>
      <c r="H41" s="7"/>
      <c r="I41" s="7"/>
      <c r="J41" s="7"/>
      <c r="K41" s="9"/>
      <c r="L41" s="10"/>
      <c r="M41" s="10"/>
      <c r="N41" s="10"/>
      <c r="O41" s="10"/>
      <c r="P41" s="7"/>
      <c r="Q41" s="7"/>
      <c r="R41" s="7"/>
      <c r="S41" s="7"/>
      <c r="T41" s="7"/>
    </row>
    <row r="42" spans="1:20" s="11" customFormat="1" ht="18">
      <c r="B42" s="106" t="s">
        <v>36</v>
      </c>
      <c r="C42" s="105"/>
      <c r="D42" s="105"/>
      <c r="E42" s="100">
        <f>E41*12</f>
        <v>30000</v>
      </c>
      <c r="F42" s="7"/>
      <c r="G42" s="8"/>
      <c r="H42" s="7"/>
      <c r="I42" s="7"/>
      <c r="J42" s="7"/>
      <c r="K42" s="9"/>
      <c r="L42" s="10"/>
      <c r="M42" s="10"/>
      <c r="N42" s="10"/>
      <c r="O42" s="10"/>
      <c r="P42" s="7"/>
      <c r="Q42" s="7"/>
      <c r="R42" s="7"/>
      <c r="S42" s="7"/>
      <c r="T42" s="7"/>
    </row>
    <row r="43" spans="1:20" s="11" customFormat="1" ht="18">
      <c r="B43" s="106"/>
      <c r="C43" s="105"/>
      <c r="D43" s="105"/>
      <c r="E43" s="97"/>
      <c r="F43" s="7"/>
      <c r="G43" s="8"/>
      <c r="H43" s="7"/>
      <c r="I43" s="7"/>
      <c r="J43" s="7"/>
      <c r="K43" s="9"/>
      <c r="L43" s="10"/>
      <c r="M43" s="10"/>
      <c r="N43" s="10"/>
      <c r="O43" s="10"/>
      <c r="P43" s="7"/>
      <c r="Q43" s="7"/>
      <c r="R43" s="7"/>
      <c r="S43" s="7"/>
      <c r="T43" s="7"/>
    </row>
    <row r="44" spans="1:20" s="11" customFormat="1" ht="18">
      <c r="A44"/>
      <c r="B44" s="93"/>
      <c r="C44" s="93"/>
      <c r="D44" s="93"/>
      <c r="E44" s="93"/>
      <c r="F44" s="7"/>
      <c r="G44" s="8"/>
      <c r="H44" s="7"/>
      <c r="I44" s="7"/>
      <c r="J44" s="7"/>
      <c r="K44" s="9"/>
      <c r="L44" s="10"/>
      <c r="M44" s="10"/>
      <c r="N44" s="10"/>
      <c r="O44" s="10"/>
      <c r="P44" s="7"/>
      <c r="Q44" s="7"/>
      <c r="R44" s="7"/>
      <c r="S44" s="7"/>
      <c r="T44" s="7"/>
    </row>
    <row r="45" spans="1:20" s="11" customFormat="1" ht="18">
      <c r="A45"/>
      <c r="B45" s="105" t="s">
        <v>87</v>
      </c>
      <c r="C45" s="105"/>
      <c r="D45" s="105"/>
      <c r="E45" s="107">
        <v>6.8</v>
      </c>
      <c r="F45" s="7"/>
      <c r="G45" s="8"/>
      <c r="H45" s="7"/>
      <c r="I45" s="7"/>
      <c r="J45" s="7"/>
      <c r="K45" s="9"/>
      <c r="L45" s="10"/>
      <c r="M45" s="10"/>
      <c r="N45" s="10"/>
      <c r="O45" s="10"/>
      <c r="P45" s="7"/>
      <c r="Q45" s="7"/>
      <c r="R45" s="7"/>
      <c r="S45" s="7"/>
      <c r="T45" s="7"/>
    </row>
    <row r="46" spans="1:20" s="11" customFormat="1" ht="18">
      <c r="A46"/>
      <c r="B46" s="93"/>
      <c r="C46" s="93"/>
      <c r="D46" s="93"/>
      <c r="E46" s="93"/>
      <c r="F46" s="7"/>
      <c r="G46" s="8"/>
      <c r="H46" s="7"/>
      <c r="I46" s="7"/>
      <c r="J46" s="7"/>
      <c r="K46" s="9"/>
      <c r="L46" s="10"/>
      <c r="M46" s="10"/>
      <c r="N46" s="10"/>
      <c r="O46" s="10"/>
      <c r="P46" s="7"/>
      <c r="Q46" s="7"/>
      <c r="R46" s="7"/>
      <c r="S46" s="7"/>
      <c r="T46" s="7"/>
    </row>
    <row r="47" spans="1:20" s="11" customFormat="1" ht="18">
      <c r="B47" s="93"/>
      <c r="C47" s="93"/>
      <c r="D47" s="93"/>
      <c r="E47" s="108"/>
      <c r="F47" s="7"/>
      <c r="G47" s="8"/>
      <c r="H47" s="7"/>
      <c r="I47" s="7"/>
      <c r="J47" s="7"/>
      <c r="K47" s="9"/>
      <c r="L47" s="10"/>
      <c r="M47" s="10"/>
      <c r="N47" s="10"/>
      <c r="O47" s="10"/>
      <c r="P47" s="7"/>
      <c r="Q47" s="7"/>
      <c r="R47" s="7"/>
      <c r="S47" s="7"/>
      <c r="T47" s="7"/>
    </row>
    <row r="48" spans="1:20" s="11" customFormat="1" ht="18">
      <c r="B48" s="105" t="s">
        <v>47</v>
      </c>
      <c r="C48" s="93"/>
      <c r="D48" s="93"/>
      <c r="E48" s="101">
        <f>E13+E18+E25+E32</f>
        <v>2130000</v>
      </c>
      <c r="F48" s="7"/>
      <c r="G48" s="8"/>
      <c r="H48" s="7"/>
      <c r="I48" s="7"/>
      <c r="J48" s="7"/>
      <c r="K48" s="9"/>
      <c r="L48" s="10"/>
      <c r="M48" s="10"/>
      <c r="N48" s="10"/>
      <c r="O48" s="10"/>
      <c r="P48" s="7"/>
      <c r="Q48" s="7"/>
      <c r="R48" s="7"/>
      <c r="S48" s="7"/>
      <c r="T48" s="7"/>
    </row>
    <row r="49" spans="2:20" s="11" customFormat="1" ht="18">
      <c r="B49"/>
      <c r="C49"/>
      <c r="D49"/>
      <c r="E49"/>
      <c r="F49" s="7"/>
      <c r="G49" s="8"/>
      <c r="H49" s="7"/>
      <c r="I49" s="7"/>
      <c r="J49" s="7"/>
      <c r="K49" s="9"/>
      <c r="L49" s="10"/>
      <c r="M49" s="10"/>
      <c r="N49" s="10"/>
      <c r="O49" s="10"/>
      <c r="P49" s="7"/>
      <c r="Q49" s="7"/>
      <c r="R49" s="7"/>
      <c r="S49" s="7"/>
      <c r="T49" s="7"/>
    </row>
    <row r="50" spans="2:20" s="11" customFormat="1" ht="18">
      <c r="B50"/>
      <c r="C50"/>
      <c r="D50"/>
      <c r="E50"/>
      <c r="F50" s="7"/>
      <c r="G50" s="8"/>
      <c r="H50" s="7"/>
      <c r="I50" s="7"/>
      <c r="J50" s="7"/>
      <c r="K50" s="9"/>
      <c r="L50" s="10"/>
      <c r="M50" s="10"/>
      <c r="N50" s="10"/>
      <c r="O50" s="10"/>
      <c r="P50" s="7"/>
      <c r="Q50" s="7"/>
      <c r="R50" s="7"/>
      <c r="S50" s="7"/>
      <c r="T50" s="7"/>
    </row>
    <row r="51" spans="2:20" s="11" customFormat="1" ht="18">
      <c r="B51"/>
      <c r="C51"/>
      <c r="D51"/>
      <c r="E51"/>
      <c r="F51" s="7"/>
      <c r="G51" s="8"/>
      <c r="H51" s="7"/>
      <c r="I51" s="7"/>
      <c r="J51" s="7"/>
      <c r="K51" s="9"/>
      <c r="L51" s="10"/>
      <c r="M51" s="10"/>
      <c r="N51" s="10"/>
      <c r="O51" s="10"/>
      <c r="P51" s="7"/>
      <c r="Q51" s="7"/>
      <c r="R51" s="7"/>
      <c r="S51" s="7"/>
      <c r="T51" s="7"/>
    </row>
    <row r="52" spans="2:20" s="11" customFormat="1" ht="18">
      <c r="B52"/>
      <c r="C52"/>
      <c r="D52"/>
      <c r="E52"/>
      <c r="F52" s="7"/>
      <c r="G52" s="8"/>
      <c r="H52" s="7"/>
      <c r="I52" s="7"/>
      <c r="J52" s="7"/>
      <c r="K52" s="9"/>
      <c r="L52" s="10"/>
      <c r="M52" s="10"/>
      <c r="N52" s="10"/>
      <c r="O52" s="10"/>
      <c r="P52" s="7"/>
      <c r="Q52" s="7"/>
      <c r="R52" s="7"/>
      <c r="S52" s="7"/>
      <c r="T52" s="7"/>
    </row>
    <row r="53" spans="2:20" s="11" customFormat="1" ht="18">
      <c r="B53"/>
      <c r="C53"/>
      <c r="D53"/>
      <c r="E53"/>
      <c r="F53" s="7"/>
      <c r="G53" s="8"/>
      <c r="H53" s="7"/>
      <c r="I53" s="7"/>
      <c r="J53" s="7"/>
      <c r="K53" s="9"/>
      <c r="L53" s="10"/>
      <c r="M53" s="10"/>
      <c r="N53" s="10"/>
      <c r="O53" s="10"/>
      <c r="P53" s="7"/>
      <c r="Q53" s="7"/>
      <c r="R53" s="7"/>
      <c r="S53" s="7"/>
      <c r="T53" s="7"/>
    </row>
    <row r="54" spans="2:20" s="11" customFormat="1" ht="18">
      <c r="B54"/>
      <c r="C54"/>
      <c r="D54"/>
      <c r="E54"/>
      <c r="F54" s="7"/>
      <c r="G54" s="8"/>
      <c r="H54" s="7"/>
      <c r="I54" s="7"/>
      <c r="J54" s="7"/>
      <c r="K54" s="9"/>
      <c r="L54" s="10"/>
      <c r="M54" s="10"/>
      <c r="N54" s="10"/>
      <c r="O54" s="10"/>
      <c r="P54" s="7"/>
      <c r="Q54" s="7"/>
      <c r="R54" s="7"/>
      <c r="S54" s="7"/>
      <c r="T54" s="7"/>
    </row>
    <row r="55" spans="2:20" s="11" customFormat="1" ht="18">
      <c r="B55"/>
      <c r="C55"/>
      <c r="D55"/>
      <c r="E55"/>
      <c r="F55" s="7"/>
      <c r="G55" s="8"/>
      <c r="H55" s="7"/>
      <c r="I55" s="7"/>
      <c r="J55" s="7"/>
      <c r="K55" s="9"/>
      <c r="L55" s="10"/>
      <c r="M55" s="10"/>
      <c r="N55" s="10"/>
      <c r="O55" s="10"/>
      <c r="P55" s="7"/>
      <c r="Q55" s="7"/>
      <c r="R55" s="7"/>
      <c r="S55" s="7"/>
      <c r="T55" s="7"/>
    </row>
    <row r="56" spans="2:20" s="11" customFormat="1" ht="18">
      <c r="B56"/>
      <c r="C56"/>
      <c r="D56"/>
      <c r="E56"/>
      <c r="F56" s="7"/>
      <c r="G56" s="8"/>
      <c r="H56" s="7"/>
      <c r="I56" s="7"/>
      <c r="J56" s="7"/>
      <c r="K56" s="9"/>
      <c r="L56" s="10"/>
      <c r="M56" s="10"/>
      <c r="N56" s="10"/>
      <c r="O56" s="10"/>
      <c r="P56" s="7"/>
      <c r="Q56" s="7"/>
      <c r="R56" s="7"/>
      <c r="S56" s="7"/>
      <c r="T56" s="7"/>
    </row>
    <row r="57" spans="2:20" s="11" customFormat="1" ht="18">
      <c r="B57"/>
      <c r="C57"/>
      <c r="D57"/>
      <c r="E57"/>
      <c r="F57" s="7"/>
      <c r="G57" s="8"/>
      <c r="H57" s="7"/>
      <c r="I57" s="7"/>
      <c r="J57" s="7"/>
      <c r="K57" s="9"/>
      <c r="L57" s="10"/>
      <c r="M57" s="10"/>
      <c r="N57" s="10"/>
      <c r="O57" s="10"/>
      <c r="P57" s="7"/>
      <c r="Q57" s="7"/>
      <c r="R57" s="7"/>
      <c r="S57" s="7"/>
      <c r="T57" s="7"/>
    </row>
    <row r="58" spans="2:20" s="11" customFormat="1" ht="18">
      <c r="B58"/>
      <c r="C58"/>
      <c r="D58"/>
      <c r="E58"/>
      <c r="F58" s="7"/>
      <c r="G58" s="8"/>
      <c r="H58" s="7"/>
      <c r="I58" s="7"/>
      <c r="J58" s="7"/>
      <c r="K58" s="9"/>
      <c r="L58" s="10"/>
      <c r="M58" s="10"/>
      <c r="N58" s="10"/>
      <c r="O58" s="10"/>
      <c r="P58" s="7"/>
      <c r="Q58" s="7"/>
      <c r="R58" s="7"/>
      <c r="S58" s="7"/>
      <c r="T58" s="7"/>
    </row>
    <row r="59" spans="2:20" s="11" customFormat="1" ht="18">
      <c r="B59"/>
      <c r="C59"/>
      <c r="D59"/>
      <c r="E59"/>
      <c r="F59" s="7"/>
      <c r="G59" s="8"/>
      <c r="H59" s="7"/>
      <c r="I59" s="7"/>
      <c r="J59" s="7"/>
      <c r="K59" s="9"/>
      <c r="L59" s="10"/>
      <c r="M59" s="10"/>
      <c r="N59" s="10"/>
      <c r="O59" s="10"/>
      <c r="P59" s="7"/>
      <c r="Q59" s="7"/>
      <c r="R59" s="7"/>
      <c r="S59" s="7"/>
      <c r="T59" s="7"/>
    </row>
    <row r="60" spans="2:20" s="11" customFormat="1" ht="18">
      <c r="B60"/>
      <c r="C60"/>
      <c r="D60"/>
      <c r="E60"/>
      <c r="F60" s="7"/>
      <c r="G60" s="8"/>
      <c r="H60" s="7"/>
      <c r="I60" s="7"/>
      <c r="J60" s="7"/>
      <c r="K60" s="9"/>
      <c r="L60" s="10"/>
      <c r="M60" s="10"/>
      <c r="N60" s="10"/>
      <c r="O60" s="10"/>
      <c r="P60" s="7"/>
      <c r="Q60" s="7"/>
      <c r="R60" s="7"/>
      <c r="S60" s="7"/>
      <c r="T60" s="7"/>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56F0-1C20-4EF2-ACDC-144FC8581530}">
  <dimension ref="A1:E54"/>
  <sheetViews>
    <sheetView workbookViewId="0">
      <selection sqref="A1:E33"/>
    </sheetView>
  </sheetViews>
  <sheetFormatPr baseColWidth="10" defaultRowHeight="12.5"/>
  <sheetData>
    <row r="1" spans="1:5">
      <c r="A1" s="109"/>
      <c r="B1" s="109"/>
      <c r="C1" s="109"/>
      <c r="D1" s="109"/>
      <c r="E1" s="109"/>
    </row>
    <row r="2" spans="1:5" ht="13">
      <c r="A2" s="110"/>
      <c r="B2" s="111" t="s">
        <v>5</v>
      </c>
      <c r="C2" s="110"/>
      <c r="D2" s="110"/>
      <c r="E2" s="110"/>
    </row>
    <row r="3" spans="1:5" ht="13">
      <c r="A3" s="110" t="s">
        <v>15</v>
      </c>
      <c r="B3" s="112" t="s">
        <v>7</v>
      </c>
      <c r="C3" s="112" t="s">
        <v>8</v>
      </c>
      <c r="D3" s="112" t="s">
        <v>9</v>
      </c>
      <c r="E3" s="112" t="s">
        <v>10</v>
      </c>
    </row>
    <row r="4" spans="1:5">
      <c r="A4" s="110">
        <v>1</v>
      </c>
      <c r="B4" s="113">
        <f>Eigenmittel_Förderung!E8</f>
        <v>150000</v>
      </c>
      <c r="C4" s="113">
        <f>B4*Eigenmittel_Förderung!C54</f>
        <v>0</v>
      </c>
      <c r="D4" s="113">
        <f>B4*Eigenmittel_Förderung!$C$8</f>
        <v>1500</v>
      </c>
      <c r="E4" s="113">
        <f t="shared" ref="E4:E32" si="0">C4+D4</f>
        <v>1500</v>
      </c>
    </row>
    <row r="5" spans="1:5">
      <c r="A5" s="110">
        <v>2</v>
      </c>
      <c r="B5" s="113">
        <f t="shared" ref="B5:B32" si="1">B4-C4</f>
        <v>150000</v>
      </c>
      <c r="C5" s="113">
        <f t="shared" ref="C5:C32" si="2">E4-D5</f>
        <v>0</v>
      </c>
      <c r="D5" s="113">
        <f>B5*Eigenmittel_Förderung!$C$8</f>
        <v>1500</v>
      </c>
      <c r="E5" s="113">
        <f t="shared" si="0"/>
        <v>1500</v>
      </c>
    </row>
    <row r="6" spans="1:5">
      <c r="A6" s="110">
        <v>3</v>
      </c>
      <c r="B6" s="113">
        <f t="shared" si="1"/>
        <v>150000</v>
      </c>
      <c r="C6" s="113">
        <f t="shared" si="2"/>
        <v>0</v>
      </c>
      <c r="D6" s="113">
        <f>B6*Eigenmittel_Förderung!$C$8</f>
        <v>1500</v>
      </c>
      <c r="E6" s="113">
        <f t="shared" si="0"/>
        <v>1500</v>
      </c>
    </row>
    <row r="7" spans="1:5">
      <c r="A7" s="110">
        <v>4</v>
      </c>
      <c r="B7" s="113">
        <f t="shared" si="1"/>
        <v>150000</v>
      </c>
      <c r="C7" s="113">
        <f t="shared" si="2"/>
        <v>0</v>
      </c>
      <c r="D7" s="113">
        <f>B7*Eigenmittel_Förderung!$C$8</f>
        <v>1500</v>
      </c>
      <c r="E7" s="113">
        <f t="shared" si="0"/>
        <v>1500</v>
      </c>
    </row>
    <row r="8" spans="1:5">
      <c r="A8" s="110">
        <v>5</v>
      </c>
      <c r="B8" s="113">
        <f t="shared" si="1"/>
        <v>150000</v>
      </c>
      <c r="C8" s="113">
        <f t="shared" si="2"/>
        <v>0</v>
      </c>
      <c r="D8" s="113">
        <f>B8*Eigenmittel_Förderung!$C$8</f>
        <v>1500</v>
      </c>
      <c r="E8" s="113">
        <f t="shared" si="0"/>
        <v>1500</v>
      </c>
    </row>
    <row r="9" spans="1:5">
      <c r="A9" s="110">
        <v>6</v>
      </c>
      <c r="B9" s="113">
        <f t="shared" si="1"/>
        <v>150000</v>
      </c>
      <c r="C9" s="113">
        <f t="shared" si="2"/>
        <v>0</v>
      </c>
      <c r="D9" s="113">
        <f>B9*Eigenmittel_Förderung!$C$8</f>
        <v>1500</v>
      </c>
      <c r="E9" s="113">
        <f t="shared" si="0"/>
        <v>1500</v>
      </c>
    </row>
    <row r="10" spans="1:5">
      <c r="A10" s="110">
        <v>7</v>
      </c>
      <c r="B10" s="113">
        <f t="shared" si="1"/>
        <v>150000</v>
      </c>
      <c r="C10" s="113">
        <f t="shared" si="2"/>
        <v>0</v>
      </c>
      <c r="D10" s="113">
        <f>B10*Eigenmittel_Förderung!$C$8</f>
        <v>1500</v>
      </c>
      <c r="E10" s="113">
        <f t="shared" si="0"/>
        <v>1500</v>
      </c>
    </row>
    <row r="11" spans="1:5">
      <c r="A11" s="110">
        <v>8</v>
      </c>
      <c r="B11" s="113">
        <f t="shared" si="1"/>
        <v>150000</v>
      </c>
      <c r="C11" s="113">
        <f t="shared" si="2"/>
        <v>0</v>
      </c>
      <c r="D11" s="113">
        <f>B11*Eigenmittel_Förderung!$C$8</f>
        <v>1500</v>
      </c>
      <c r="E11" s="113">
        <f t="shared" si="0"/>
        <v>1500</v>
      </c>
    </row>
    <row r="12" spans="1:5">
      <c r="A12" s="110">
        <v>9</v>
      </c>
      <c r="B12" s="113">
        <f t="shared" si="1"/>
        <v>150000</v>
      </c>
      <c r="C12" s="113">
        <f t="shared" si="2"/>
        <v>0</v>
      </c>
      <c r="D12" s="113">
        <f>B12*Eigenmittel_Förderung!$C$8</f>
        <v>1500</v>
      </c>
      <c r="E12" s="113">
        <f t="shared" si="0"/>
        <v>1500</v>
      </c>
    </row>
    <row r="13" spans="1:5">
      <c r="A13" s="110">
        <v>10</v>
      </c>
      <c r="B13" s="113">
        <f t="shared" si="1"/>
        <v>150000</v>
      </c>
      <c r="C13" s="113">
        <f t="shared" si="2"/>
        <v>0</v>
      </c>
      <c r="D13" s="113">
        <f>B13*Eigenmittel_Förderung!$C$8</f>
        <v>1500</v>
      </c>
      <c r="E13" s="113">
        <f t="shared" si="0"/>
        <v>1500</v>
      </c>
    </row>
    <row r="14" spans="1:5">
      <c r="A14" s="110">
        <v>11</v>
      </c>
      <c r="B14" s="113">
        <f t="shared" si="1"/>
        <v>150000</v>
      </c>
      <c r="C14" s="113">
        <f t="shared" si="2"/>
        <v>0</v>
      </c>
      <c r="D14" s="113">
        <f>B14*Eigenmittel_Förderung!$C$8</f>
        <v>1500</v>
      </c>
      <c r="E14" s="113">
        <f t="shared" si="0"/>
        <v>1500</v>
      </c>
    </row>
    <row r="15" spans="1:5">
      <c r="A15" s="110">
        <v>12</v>
      </c>
      <c r="B15" s="113">
        <f t="shared" si="1"/>
        <v>150000</v>
      </c>
      <c r="C15" s="113">
        <f t="shared" si="2"/>
        <v>0</v>
      </c>
      <c r="D15" s="113">
        <f>B15*Eigenmittel_Förderung!$C$8</f>
        <v>1500</v>
      </c>
      <c r="E15" s="113">
        <f t="shared" si="0"/>
        <v>1500</v>
      </c>
    </row>
    <row r="16" spans="1:5">
      <c r="A16" s="110">
        <v>13</v>
      </c>
      <c r="B16" s="113">
        <f t="shared" si="1"/>
        <v>150000</v>
      </c>
      <c r="C16" s="113">
        <f t="shared" si="2"/>
        <v>0</v>
      </c>
      <c r="D16" s="113">
        <f>B16*Eigenmittel_Förderung!$C$8</f>
        <v>1500</v>
      </c>
      <c r="E16" s="113">
        <f t="shared" si="0"/>
        <v>1500</v>
      </c>
    </row>
    <row r="17" spans="1:5">
      <c r="A17" s="110">
        <v>14</v>
      </c>
      <c r="B17" s="113">
        <f t="shared" si="1"/>
        <v>150000</v>
      </c>
      <c r="C17" s="113">
        <f t="shared" si="2"/>
        <v>0</v>
      </c>
      <c r="D17" s="113">
        <f>B17*Eigenmittel_Förderung!$C$8</f>
        <v>1500</v>
      </c>
      <c r="E17" s="113">
        <f t="shared" si="0"/>
        <v>1500</v>
      </c>
    </row>
    <row r="18" spans="1:5">
      <c r="A18" s="110">
        <v>15</v>
      </c>
      <c r="B18" s="113">
        <f t="shared" si="1"/>
        <v>150000</v>
      </c>
      <c r="C18" s="113">
        <f t="shared" si="2"/>
        <v>0</v>
      </c>
      <c r="D18" s="113">
        <f>B18*Eigenmittel_Förderung!$C$8</f>
        <v>1500</v>
      </c>
      <c r="E18" s="113">
        <f t="shared" si="0"/>
        <v>1500</v>
      </c>
    </row>
    <row r="19" spans="1:5">
      <c r="A19" s="110">
        <v>16</v>
      </c>
      <c r="B19" s="113">
        <f t="shared" si="1"/>
        <v>150000</v>
      </c>
      <c r="C19" s="113">
        <f t="shared" si="2"/>
        <v>0</v>
      </c>
      <c r="D19" s="113">
        <f>B19*Eigenmittel_Förderung!$C$8</f>
        <v>1500</v>
      </c>
      <c r="E19" s="113">
        <f t="shared" si="0"/>
        <v>1500</v>
      </c>
    </row>
    <row r="20" spans="1:5">
      <c r="A20" s="110">
        <v>17</v>
      </c>
      <c r="B20" s="113">
        <f t="shared" si="1"/>
        <v>150000</v>
      </c>
      <c r="C20" s="113">
        <f t="shared" si="2"/>
        <v>0</v>
      </c>
      <c r="D20" s="113">
        <f>B20*Eigenmittel_Förderung!$C$8</f>
        <v>1500</v>
      </c>
      <c r="E20" s="113">
        <f t="shared" si="0"/>
        <v>1500</v>
      </c>
    </row>
    <row r="21" spans="1:5">
      <c r="A21" s="110">
        <v>18</v>
      </c>
      <c r="B21" s="113">
        <f t="shared" si="1"/>
        <v>150000</v>
      </c>
      <c r="C21" s="113">
        <f t="shared" si="2"/>
        <v>0</v>
      </c>
      <c r="D21" s="113">
        <f>B21*Eigenmittel_Förderung!$C$8</f>
        <v>1500</v>
      </c>
      <c r="E21" s="113">
        <f t="shared" si="0"/>
        <v>1500</v>
      </c>
    </row>
    <row r="22" spans="1:5">
      <c r="A22" s="110">
        <v>19</v>
      </c>
      <c r="B22" s="113">
        <f t="shared" si="1"/>
        <v>150000</v>
      </c>
      <c r="C22" s="113">
        <f t="shared" si="2"/>
        <v>0</v>
      </c>
      <c r="D22" s="113">
        <f>B22*Eigenmittel_Förderung!$C$8</f>
        <v>1500</v>
      </c>
      <c r="E22" s="113">
        <f t="shared" si="0"/>
        <v>1500</v>
      </c>
    </row>
    <row r="23" spans="1:5">
      <c r="A23" s="110">
        <v>20</v>
      </c>
      <c r="B23" s="113">
        <f t="shared" si="1"/>
        <v>150000</v>
      </c>
      <c r="C23" s="113">
        <f t="shared" si="2"/>
        <v>0</v>
      </c>
      <c r="D23" s="113">
        <f>B23*Eigenmittel_Förderung!$C$8</f>
        <v>1500</v>
      </c>
      <c r="E23" s="113">
        <f t="shared" si="0"/>
        <v>1500</v>
      </c>
    </row>
    <row r="24" spans="1:5">
      <c r="A24" s="110">
        <v>21</v>
      </c>
      <c r="B24" s="113">
        <f t="shared" si="1"/>
        <v>150000</v>
      </c>
      <c r="C24" s="113">
        <f t="shared" si="2"/>
        <v>0</v>
      </c>
      <c r="D24" s="113">
        <f>B24*Eigenmittel_Förderung!$C$8</f>
        <v>1500</v>
      </c>
      <c r="E24" s="113">
        <f t="shared" si="0"/>
        <v>1500</v>
      </c>
    </row>
    <row r="25" spans="1:5">
      <c r="A25" s="110">
        <v>22</v>
      </c>
      <c r="B25" s="113">
        <f t="shared" si="1"/>
        <v>150000</v>
      </c>
      <c r="C25" s="113">
        <f t="shared" si="2"/>
        <v>0</v>
      </c>
      <c r="D25" s="113">
        <f>B25*Eigenmittel_Förderung!$C$8</f>
        <v>1500</v>
      </c>
      <c r="E25" s="113">
        <f t="shared" si="0"/>
        <v>1500</v>
      </c>
    </row>
    <row r="26" spans="1:5">
      <c r="A26" s="110">
        <v>23</v>
      </c>
      <c r="B26" s="113">
        <f t="shared" si="1"/>
        <v>150000</v>
      </c>
      <c r="C26" s="113">
        <f t="shared" si="2"/>
        <v>0</v>
      </c>
      <c r="D26" s="113">
        <f>B26*Eigenmittel_Förderung!$C$8</f>
        <v>1500</v>
      </c>
      <c r="E26" s="113">
        <f t="shared" si="0"/>
        <v>1500</v>
      </c>
    </row>
    <row r="27" spans="1:5">
      <c r="A27" s="110">
        <v>24</v>
      </c>
      <c r="B27" s="113">
        <f t="shared" si="1"/>
        <v>150000</v>
      </c>
      <c r="C27" s="113">
        <f t="shared" si="2"/>
        <v>0</v>
      </c>
      <c r="D27" s="113">
        <f>B27*Eigenmittel_Förderung!$C$8</f>
        <v>1500</v>
      </c>
      <c r="E27" s="113">
        <f t="shared" si="0"/>
        <v>1500</v>
      </c>
    </row>
    <row r="28" spans="1:5">
      <c r="A28" s="110">
        <v>25</v>
      </c>
      <c r="B28" s="113">
        <f t="shared" si="1"/>
        <v>150000</v>
      </c>
      <c r="C28" s="113">
        <f t="shared" si="2"/>
        <v>0</v>
      </c>
      <c r="D28" s="113">
        <f>B28*Eigenmittel_Förderung!$C$8</f>
        <v>1500</v>
      </c>
      <c r="E28" s="113">
        <f t="shared" si="0"/>
        <v>1500</v>
      </c>
    </row>
    <row r="29" spans="1:5">
      <c r="A29" s="110">
        <v>26</v>
      </c>
      <c r="B29" s="113">
        <f t="shared" si="1"/>
        <v>150000</v>
      </c>
      <c r="C29" s="113">
        <f t="shared" si="2"/>
        <v>0</v>
      </c>
      <c r="D29" s="113">
        <f>B29*Eigenmittel_Förderung!$C$8</f>
        <v>1500</v>
      </c>
      <c r="E29" s="113">
        <f t="shared" si="0"/>
        <v>1500</v>
      </c>
    </row>
    <row r="30" spans="1:5">
      <c r="A30" s="110">
        <v>27</v>
      </c>
      <c r="B30" s="113">
        <f t="shared" si="1"/>
        <v>150000</v>
      </c>
      <c r="C30" s="113">
        <f t="shared" si="2"/>
        <v>0</v>
      </c>
      <c r="D30" s="113">
        <f>B30*Eigenmittel_Förderung!$C$8</f>
        <v>1500</v>
      </c>
      <c r="E30" s="113">
        <f t="shared" si="0"/>
        <v>1500</v>
      </c>
    </row>
    <row r="31" spans="1:5">
      <c r="A31" s="110">
        <v>28</v>
      </c>
      <c r="B31" s="113">
        <f t="shared" si="1"/>
        <v>150000</v>
      </c>
      <c r="C31" s="113">
        <f t="shared" si="2"/>
        <v>0</v>
      </c>
      <c r="D31" s="113">
        <f>B31*Eigenmittel_Förderung!$C$8</f>
        <v>1500</v>
      </c>
      <c r="E31" s="113">
        <f t="shared" si="0"/>
        <v>1500</v>
      </c>
    </row>
    <row r="32" spans="1:5">
      <c r="A32" s="110">
        <v>29</v>
      </c>
      <c r="B32" s="113">
        <f t="shared" si="1"/>
        <v>150000</v>
      </c>
      <c r="C32" s="113">
        <f t="shared" si="2"/>
        <v>0</v>
      </c>
      <c r="D32" s="113">
        <f>B32*Eigenmittel_Förderung!$C$8</f>
        <v>1500</v>
      </c>
      <c r="E32" s="113">
        <f t="shared" si="0"/>
        <v>1500</v>
      </c>
    </row>
    <row r="33" spans="1:5">
      <c r="A33" s="110">
        <v>30</v>
      </c>
      <c r="B33" s="110"/>
      <c r="C33" s="110"/>
      <c r="D33" s="110"/>
      <c r="E33" s="110"/>
    </row>
    <row r="34" spans="1:5">
      <c r="A34" s="3">
        <v>31</v>
      </c>
    </row>
    <row r="35" spans="1:5">
      <c r="A35" s="3">
        <v>32</v>
      </c>
    </row>
    <row r="36" spans="1:5">
      <c r="A36" s="3">
        <v>33</v>
      </c>
    </row>
    <row r="37" spans="1:5">
      <c r="A37" s="3">
        <v>34</v>
      </c>
    </row>
    <row r="38" spans="1:5">
      <c r="A38" s="3">
        <v>35</v>
      </c>
    </row>
    <row r="39" spans="1:5">
      <c r="A39" s="3">
        <v>36</v>
      </c>
    </row>
    <row r="40" spans="1:5">
      <c r="A40" s="3">
        <v>37</v>
      </c>
    </row>
    <row r="41" spans="1:5">
      <c r="A41" s="3">
        <v>38</v>
      </c>
    </row>
    <row r="42" spans="1:5">
      <c r="A42" s="3">
        <v>39</v>
      </c>
    </row>
    <row r="43" spans="1:5">
      <c r="A43" s="3">
        <v>40</v>
      </c>
    </row>
    <row r="44" spans="1:5">
      <c r="A44" s="3">
        <v>41</v>
      </c>
    </row>
    <row r="45" spans="1:5">
      <c r="A45" s="3">
        <v>42</v>
      </c>
    </row>
    <row r="46" spans="1:5">
      <c r="A46" s="3">
        <v>43</v>
      </c>
    </row>
    <row r="47" spans="1:5">
      <c r="A47" s="3">
        <v>44</v>
      </c>
    </row>
    <row r="48" spans="1:5">
      <c r="A48" s="3">
        <v>45</v>
      </c>
    </row>
    <row r="49" spans="1:1">
      <c r="A49" s="3">
        <v>46</v>
      </c>
    </row>
    <row r="50" spans="1:1">
      <c r="A50" s="3">
        <v>47</v>
      </c>
    </row>
    <row r="51" spans="1:1">
      <c r="A51" s="3">
        <v>48</v>
      </c>
    </row>
    <row r="52" spans="1:1">
      <c r="A52" s="3">
        <v>49</v>
      </c>
    </row>
    <row r="53" spans="1:1">
      <c r="A53" s="3">
        <v>50</v>
      </c>
    </row>
    <row r="54" spans="1:1">
      <c r="A54" s="3">
        <v>51</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546E-17C1-4E09-A66D-7A898F1AD17F}">
  <dimension ref="B2:L33"/>
  <sheetViews>
    <sheetView topLeftCell="A10" workbookViewId="0">
      <selection activeCell="E20" sqref="E20"/>
    </sheetView>
  </sheetViews>
  <sheetFormatPr baseColWidth="10" defaultColWidth="11.453125" defaultRowHeight="18"/>
  <cols>
    <col min="1" max="1" width="11.453125" style="11"/>
    <col min="2" max="2" width="22.7265625" style="11" customWidth="1"/>
    <col min="3" max="3" width="19.1796875" style="11" customWidth="1"/>
    <col min="4" max="5" width="18" style="11" bestFit="1" customWidth="1"/>
    <col min="6" max="7" width="11.453125" style="11"/>
    <col min="8" max="8" width="18" style="11" bestFit="1" customWidth="1"/>
    <col min="9" max="9" width="11.453125" style="11"/>
    <col min="10" max="12" width="18" style="11" bestFit="1" customWidth="1"/>
    <col min="13" max="16384" width="11.453125" style="11"/>
  </cols>
  <sheetData>
    <row r="2" spans="2:12">
      <c r="B2" s="24" t="s">
        <v>97</v>
      </c>
    </row>
    <row r="4" spans="2:12">
      <c r="B4" s="102" t="s">
        <v>92</v>
      </c>
      <c r="C4" s="102"/>
      <c r="D4" s="102"/>
      <c r="E4" s="102"/>
      <c r="F4" s="102"/>
      <c r="G4" s="102"/>
      <c r="H4" s="114">
        <f>'Investition Bestand'!C20-Eigenmittel_Förderung!E48</f>
        <v>2385500</v>
      </c>
      <c r="J4" s="25"/>
      <c r="K4" s="25"/>
      <c r="L4" s="25"/>
    </row>
    <row r="5" spans="2:12">
      <c r="B5" s="102" t="s">
        <v>99</v>
      </c>
      <c r="C5" s="102"/>
      <c r="D5" s="102"/>
      <c r="E5" s="102"/>
      <c r="F5" s="102"/>
      <c r="G5" s="102"/>
      <c r="H5" s="114">
        <f>'Investition Bestand'!C5-Eigenmittel_Förderung!E34</f>
        <v>1600000</v>
      </c>
      <c r="L5" s="25"/>
    </row>
    <row r="6" spans="2:12">
      <c r="L6" s="25"/>
    </row>
    <row r="7" spans="2:12">
      <c r="B7" s="11" t="s">
        <v>49</v>
      </c>
    </row>
    <row r="8" spans="2:12">
      <c r="B8" s="24" t="s">
        <v>108</v>
      </c>
      <c r="D8" s="11" t="s">
        <v>109</v>
      </c>
    </row>
    <row r="9" spans="2:12">
      <c r="B9" s="11" t="s">
        <v>93</v>
      </c>
      <c r="H9" s="38">
        <f>Wohnungen!C32-Eigenmittel_Förderung!E24</f>
        <v>13</v>
      </c>
    </row>
    <row r="10" spans="2:12">
      <c r="B10" s="11" t="s">
        <v>94</v>
      </c>
      <c r="H10" s="38">
        <f>Wohnungen!D30</f>
        <v>551</v>
      </c>
    </row>
    <row r="11" spans="2:12">
      <c r="B11" s="11" t="s">
        <v>95</v>
      </c>
      <c r="H11" s="12">
        <f>'Investition Bestand'!C24</f>
        <v>2314.8148148148148</v>
      </c>
    </row>
    <row r="12" spans="2:12">
      <c r="B12" s="11" t="s">
        <v>96</v>
      </c>
      <c r="H12" s="12">
        <f>H11*0.8</f>
        <v>1851.851851851852</v>
      </c>
    </row>
    <row r="13" spans="2:12">
      <c r="H13" s="38"/>
    </row>
    <row r="15" spans="2:12">
      <c r="B15" s="11" t="s">
        <v>89</v>
      </c>
      <c r="C15" s="11" t="s">
        <v>88</v>
      </c>
    </row>
    <row r="16" spans="2:12">
      <c r="B16" s="11" t="s">
        <v>55</v>
      </c>
      <c r="C16" s="11" t="s">
        <v>54</v>
      </c>
      <c r="D16" s="12">
        <v>120000</v>
      </c>
    </row>
    <row r="17" spans="2:7">
      <c r="C17" s="11" t="s">
        <v>54</v>
      </c>
      <c r="D17" s="25">
        <f>D16*H9</f>
        <v>1560000</v>
      </c>
    </row>
    <row r="19" spans="2:7">
      <c r="B19" s="102" t="s">
        <v>56</v>
      </c>
      <c r="C19" s="102"/>
      <c r="D19" s="102"/>
      <c r="E19" s="114">
        <f>IF(H5&lt;D17,H5,D17)</f>
        <v>1560000</v>
      </c>
      <c r="F19" s="102"/>
      <c r="G19" s="102"/>
    </row>
    <row r="20" spans="2:7">
      <c r="B20" s="102" t="s">
        <v>90</v>
      </c>
      <c r="C20" s="102"/>
      <c r="D20" s="96">
        <v>0.05</v>
      </c>
      <c r="E20" s="115">
        <f>E19*0.95</f>
        <v>1482000</v>
      </c>
      <c r="F20" s="102"/>
      <c r="G20" s="102"/>
    </row>
    <row r="21" spans="2:7">
      <c r="B21" s="102" t="s">
        <v>91</v>
      </c>
      <c r="C21" s="102"/>
      <c r="D21" s="96">
        <v>0.1</v>
      </c>
      <c r="E21" s="114">
        <f>E20*0.9</f>
        <v>1333800</v>
      </c>
      <c r="F21" s="102" t="s">
        <v>111</v>
      </c>
      <c r="G21" s="102"/>
    </row>
    <row r="23" spans="2:7">
      <c r="B23" s="8" t="s">
        <v>112</v>
      </c>
      <c r="C23" s="7" t="s">
        <v>31</v>
      </c>
      <c r="D23" s="7"/>
      <c r="E23" s="28">
        <v>2.9399999999999999E-2</v>
      </c>
      <c r="F23" s="7"/>
    </row>
    <row r="24" spans="2:7">
      <c r="B24" s="8"/>
      <c r="C24" s="7" t="s">
        <v>32</v>
      </c>
      <c r="D24" s="7"/>
      <c r="E24" s="22">
        <v>10</v>
      </c>
      <c r="F24" s="7" t="s">
        <v>34</v>
      </c>
    </row>
    <row r="25" spans="2:7">
      <c r="B25" s="8"/>
      <c r="C25" s="11" t="s">
        <v>33</v>
      </c>
      <c r="E25" s="28">
        <v>2.3E-2</v>
      </c>
      <c r="F25" s="7"/>
    </row>
    <row r="26" spans="2:7">
      <c r="B26" s="8"/>
      <c r="C26" s="7" t="s">
        <v>15</v>
      </c>
      <c r="D26" s="7"/>
      <c r="E26" s="22">
        <v>30</v>
      </c>
      <c r="F26" s="7" t="s">
        <v>34</v>
      </c>
    </row>
    <row r="27" spans="2:7">
      <c r="B27" s="8"/>
      <c r="C27" s="7"/>
      <c r="D27" s="7"/>
      <c r="E27" s="22"/>
      <c r="F27" s="7"/>
    </row>
    <row r="28" spans="2:7">
      <c r="B28" s="105" t="s">
        <v>37</v>
      </c>
      <c r="C28" s="105"/>
      <c r="D28" s="105"/>
      <c r="E28" s="97">
        <f>E29/12</f>
        <v>5824.2599999999993</v>
      </c>
      <c r="F28" s="7"/>
    </row>
    <row r="29" spans="2:7">
      <c r="B29" s="106" t="s">
        <v>36</v>
      </c>
      <c r="C29" s="105"/>
      <c r="D29" s="105"/>
      <c r="E29" s="100">
        <f>'KFW Kapitaldienst'!E4</f>
        <v>69891.12</v>
      </c>
      <c r="F29" s="7"/>
    </row>
    <row r="33" spans="2:2">
      <c r="B33" s="11" t="s">
        <v>110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B373-E7A1-41EC-83E4-BF774C0BACF1}">
  <dimension ref="A1:E53"/>
  <sheetViews>
    <sheetView workbookViewId="0">
      <selection sqref="A1:E32"/>
    </sheetView>
  </sheetViews>
  <sheetFormatPr baseColWidth="10" defaultRowHeight="12.5"/>
  <cols>
    <col min="2" max="2" width="18" style="27" customWidth="1"/>
    <col min="3" max="3" width="11.7265625" bestFit="1" customWidth="1"/>
  </cols>
  <sheetData>
    <row r="1" spans="1:5" ht="13">
      <c r="A1" s="116" t="s">
        <v>1</v>
      </c>
      <c r="B1" s="117"/>
      <c r="C1" s="118"/>
      <c r="D1" s="118"/>
      <c r="E1" s="118"/>
    </row>
    <row r="2" spans="1:5" ht="13">
      <c r="A2" s="119" t="s">
        <v>4</v>
      </c>
      <c r="B2" s="120"/>
      <c r="C2" s="113"/>
      <c r="D2" s="113"/>
      <c r="E2" s="113"/>
    </row>
    <row r="3" spans="1:5" ht="13">
      <c r="A3" s="119" t="s">
        <v>6</v>
      </c>
      <c r="B3" s="121" t="s">
        <v>7</v>
      </c>
      <c r="C3" s="112" t="s">
        <v>8</v>
      </c>
      <c r="D3" s="112" t="s">
        <v>9</v>
      </c>
      <c r="E3" s="112" t="s">
        <v>10</v>
      </c>
    </row>
    <row r="4" spans="1:5">
      <c r="A4" s="122">
        <v>1</v>
      </c>
      <c r="B4" s="120">
        <f>KFW!E21</f>
        <v>1333800</v>
      </c>
      <c r="C4" s="113">
        <f>B4*KFW!E25</f>
        <v>30677.399999999998</v>
      </c>
      <c r="D4" s="113">
        <f>B4*KFW!$E$23</f>
        <v>39213.72</v>
      </c>
      <c r="E4" s="113">
        <f t="shared" ref="E4:E32" si="0">C4+D4</f>
        <v>69891.12</v>
      </c>
    </row>
    <row r="5" spans="1:5">
      <c r="A5" s="122">
        <v>2</v>
      </c>
      <c r="B5" s="120">
        <f t="shared" ref="B5:B32" si="1">B4-C4</f>
        <v>1303122.6000000001</v>
      </c>
      <c r="C5" s="113">
        <f>E4-D5</f>
        <v>31579.315559999995</v>
      </c>
      <c r="D5" s="113">
        <f>B5*KFW!$E$23</f>
        <v>38311.80444</v>
      </c>
      <c r="E5" s="113">
        <f t="shared" si="0"/>
        <v>69891.12</v>
      </c>
    </row>
    <row r="6" spans="1:5">
      <c r="A6" s="122">
        <v>3</v>
      </c>
      <c r="B6" s="120">
        <f t="shared" si="1"/>
        <v>1271543.2844400001</v>
      </c>
      <c r="C6" s="113">
        <f t="shared" ref="C6:C32" si="2">E5-D6</f>
        <v>32507.747437463993</v>
      </c>
      <c r="D6" s="113">
        <f>B6*KFW!$E$23</f>
        <v>37383.372562536002</v>
      </c>
      <c r="E6" s="113">
        <f t="shared" si="0"/>
        <v>69891.12</v>
      </c>
    </row>
    <row r="7" spans="1:5">
      <c r="A7" s="122">
        <v>4</v>
      </c>
      <c r="B7" s="120">
        <f t="shared" si="1"/>
        <v>1239035.537002536</v>
      </c>
      <c r="C7" s="113">
        <f t="shared" si="2"/>
        <v>33463.475212125435</v>
      </c>
      <c r="D7" s="113">
        <f>B7*KFW!$E$23</f>
        <v>36427.64478787456</v>
      </c>
      <c r="E7" s="113">
        <f t="shared" si="0"/>
        <v>69891.12</v>
      </c>
    </row>
    <row r="8" spans="1:5">
      <c r="A8" s="122">
        <v>5</v>
      </c>
      <c r="B8" s="120">
        <f t="shared" si="1"/>
        <v>1205572.0617904107</v>
      </c>
      <c r="C8" s="113">
        <f t="shared" si="2"/>
        <v>34447.301383361926</v>
      </c>
      <c r="D8" s="113">
        <f>B8*KFW!$E$23</f>
        <v>35443.818616638069</v>
      </c>
      <c r="E8" s="113">
        <f t="shared" si="0"/>
        <v>69891.12</v>
      </c>
    </row>
    <row r="9" spans="1:5">
      <c r="A9" s="122">
        <v>6</v>
      </c>
      <c r="B9" s="120">
        <f t="shared" si="1"/>
        <v>1171124.7604070487</v>
      </c>
      <c r="C9" s="113">
        <f t="shared" si="2"/>
        <v>35460.05204403276</v>
      </c>
      <c r="D9" s="113">
        <f>B9*KFW!$E$23</f>
        <v>34431.067955967235</v>
      </c>
      <c r="E9" s="113">
        <f t="shared" si="0"/>
        <v>69891.12</v>
      </c>
    </row>
    <row r="10" spans="1:5">
      <c r="A10" s="122">
        <v>7</v>
      </c>
      <c r="B10" s="120">
        <f t="shared" si="1"/>
        <v>1135664.7083630159</v>
      </c>
      <c r="C10" s="113">
        <f t="shared" si="2"/>
        <v>36502.577574127332</v>
      </c>
      <c r="D10" s="113">
        <f>B10*KFW!$E$23</f>
        <v>33388.542425872663</v>
      </c>
      <c r="E10" s="113">
        <f t="shared" si="0"/>
        <v>69891.12</v>
      </c>
    </row>
    <row r="11" spans="1:5">
      <c r="A11" s="122">
        <v>8</v>
      </c>
      <c r="B11" s="120">
        <f t="shared" si="1"/>
        <v>1099162.1307888885</v>
      </c>
      <c r="C11" s="113">
        <f t="shared" si="2"/>
        <v>37575.753354806671</v>
      </c>
      <c r="D11" s="113">
        <f>B11*KFW!$E$23</f>
        <v>32315.366645193324</v>
      </c>
      <c r="E11" s="113">
        <f t="shared" si="0"/>
        <v>69891.12</v>
      </c>
    </row>
    <row r="12" spans="1:5">
      <c r="A12" s="122">
        <v>9</v>
      </c>
      <c r="B12" s="120">
        <f t="shared" si="1"/>
        <v>1061586.3774340819</v>
      </c>
      <c r="C12" s="113">
        <f t="shared" si="2"/>
        <v>38680.48050343799</v>
      </c>
      <c r="D12" s="113">
        <f>B12*KFW!$E$23</f>
        <v>31210.639496562006</v>
      </c>
      <c r="E12" s="113">
        <f t="shared" si="0"/>
        <v>69891.12</v>
      </c>
    </row>
    <row r="13" spans="1:5">
      <c r="A13" s="122">
        <v>10</v>
      </c>
      <c r="B13" s="120">
        <f t="shared" si="1"/>
        <v>1022905.8969306438</v>
      </c>
      <c r="C13" s="113">
        <f t="shared" si="2"/>
        <v>39817.68663023907</v>
      </c>
      <c r="D13" s="113">
        <f>B13*KFW!$E$23</f>
        <v>30073.433369760929</v>
      </c>
      <c r="E13" s="113">
        <f t="shared" si="0"/>
        <v>69891.12</v>
      </c>
    </row>
    <row r="14" spans="1:5">
      <c r="A14" s="122">
        <v>11</v>
      </c>
      <c r="B14" s="120">
        <f t="shared" si="1"/>
        <v>983088.21030040481</v>
      </c>
      <c r="C14" s="113">
        <f t="shared" si="2"/>
        <v>40988.326617168095</v>
      </c>
      <c r="D14" s="113">
        <f>B14*KFW!$E$23</f>
        <v>28902.7933828319</v>
      </c>
      <c r="E14" s="113">
        <f t="shared" si="0"/>
        <v>69891.12</v>
      </c>
    </row>
    <row r="15" spans="1:5">
      <c r="A15" s="122">
        <v>12</v>
      </c>
      <c r="B15" s="120">
        <f t="shared" si="1"/>
        <v>942099.88368323667</v>
      </c>
      <c r="C15" s="113">
        <f t="shared" si="2"/>
        <v>42193.383419712838</v>
      </c>
      <c r="D15" s="113">
        <f>B15*KFW!$E$23</f>
        <v>27697.736580287157</v>
      </c>
      <c r="E15" s="113">
        <f t="shared" si="0"/>
        <v>69891.12</v>
      </c>
    </row>
    <row r="16" spans="1:5">
      <c r="A16" s="122">
        <v>13</v>
      </c>
      <c r="B16" s="120">
        <f t="shared" si="1"/>
        <v>899906.50026352378</v>
      </c>
      <c r="C16" s="113">
        <f t="shared" si="2"/>
        <v>43433.868892252402</v>
      </c>
      <c r="D16" s="113">
        <f>B16*KFW!$E$23</f>
        <v>26457.251107747597</v>
      </c>
      <c r="E16" s="113">
        <f t="shared" si="0"/>
        <v>69891.12</v>
      </c>
    </row>
    <row r="17" spans="1:5">
      <c r="A17" s="122">
        <v>14</v>
      </c>
      <c r="B17" s="120">
        <f t="shared" si="1"/>
        <v>856472.63137127133</v>
      </c>
      <c r="C17" s="113">
        <f t="shared" si="2"/>
        <v>44710.824637684622</v>
      </c>
      <c r="D17" s="113">
        <f>B17*KFW!$E$23</f>
        <v>25180.295362315377</v>
      </c>
      <c r="E17" s="113">
        <f t="shared" si="0"/>
        <v>69891.12</v>
      </c>
    </row>
    <row r="18" spans="1:5">
      <c r="A18" s="122">
        <v>15</v>
      </c>
      <c r="B18" s="120">
        <f t="shared" si="1"/>
        <v>811761.80673358671</v>
      </c>
      <c r="C18" s="113">
        <f t="shared" si="2"/>
        <v>46025.322882032546</v>
      </c>
      <c r="D18" s="113">
        <f>B18*KFW!$E$23</f>
        <v>23865.79711796745</v>
      </c>
      <c r="E18" s="113">
        <f t="shared" si="0"/>
        <v>69891.12</v>
      </c>
    </row>
    <row r="19" spans="1:5">
      <c r="A19" s="122">
        <v>16</v>
      </c>
      <c r="B19" s="120">
        <f t="shared" si="1"/>
        <v>765736.48385155411</v>
      </c>
      <c r="C19" s="113">
        <f t="shared" si="2"/>
        <v>47378.46737476431</v>
      </c>
      <c r="D19" s="113">
        <f>B19*KFW!$E$23</f>
        <v>22512.652625235689</v>
      </c>
      <c r="E19" s="113">
        <f t="shared" si="0"/>
        <v>69891.12</v>
      </c>
    </row>
    <row r="20" spans="1:5">
      <c r="A20" s="122">
        <v>17</v>
      </c>
      <c r="B20" s="120">
        <f t="shared" si="1"/>
        <v>718358.01647678984</v>
      </c>
      <c r="C20" s="113">
        <f t="shared" si="2"/>
        <v>48771.39431558238</v>
      </c>
      <c r="D20" s="113">
        <f>B20*KFW!$E$23</f>
        <v>21119.725684417619</v>
      </c>
      <c r="E20" s="113">
        <f t="shared" si="0"/>
        <v>69891.12</v>
      </c>
    </row>
    <row r="21" spans="1:5">
      <c r="A21" s="122">
        <v>18</v>
      </c>
      <c r="B21" s="120">
        <f t="shared" si="1"/>
        <v>669586.62216120749</v>
      </c>
      <c r="C21" s="113">
        <f t="shared" si="2"/>
        <v>50205.273308460499</v>
      </c>
      <c r="D21" s="113">
        <f>B21*KFW!$E$23</f>
        <v>19685.8466915395</v>
      </c>
      <c r="E21" s="113">
        <f t="shared" si="0"/>
        <v>69891.12</v>
      </c>
    </row>
    <row r="22" spans="1:5">
      <c r="A22" s="122">
        <v>19</v>
      </c>
      <c r="B22" s="120">
        <f t="shared" si="1"/>
        <v>619381.348852747</v>
      </c>
      <c r="C22" s="113">
        <f t="shared" si="2"/>
        <v>51681.308343729237</v>
      </c>
      <c r="D22" s="113">
        <f>B22*KFW!$E$23</f>
        <v>18209.811656270762</v>
      </c>
      <c r="E22" s="113">
        <f t="shared" si="0"/>
        <v>69891.12</v>
      </c>
    </row>
    <row r="23" spans="1:5">
      <c r="A23" s="122">
        <v>20</v>
      </c>
      <c r="B23" s="120">
        <f t="shared" si="1"/>
        <v>567700.04050901777</v>
      </c>
      <c r="C23" s="113">
        <f t="shared" si="2"/>
        <v>53200.738809034869</v>
      </c>
      <c r="D23" s="113">
        <f>B23*KFW!$E$23</f>
        <v>16690.381190965123</v>
      </c>
      <c r="E23" s="113">
        <f t="shared" si="0"/>
        <v>69891.12</v>
      </c>
    </row>
    <row r="24" spans="1:5">
      <c r="A24" s="122">
        <v>21</v>
      </c>
      <c r="B24" s="120">
        <f t="shared" si="1"/>
        <v>514499.3016999829</v>
      </c>
      <c r="C24" s="113">
        <f t="shared" si="2"/>
        <v>54764.840530020498</v>
      </c>
      <c r="D24" s="113">
        <f>B24*KFW!$E$23</f>
        <v>15126.279469979496</v>
      </c>
      <c r="E24" s="113">
        <f t="shared" si="0"/>
        <v>69891.12</v>
      </c>
    </row>
    <row r="25" spans="1:5">
      <c r="A25" s="122">
        <v>22</v>
      </c>
      <c r="B25" s="120">
        <f t="shared" si="1"/>
        <v>459734.46116996242</v>
      </c>
      <c r="C25" s="113">
        <f t="shared" si="2"/>
        <v>56374.926841603097</v>
      </c>
      <c r="D25" s="113">
        <f>B25*KFW!$E$23</f>
        <v>13516.193158396894</v>
      </c>
      <c r="E25" s="113">
        <f t="shared" si="0"/>
        <v>69891.12</v>
      </c>
    </row>
    <row r="26" spans="1:5">
      <c r="A26" s="122">
        <v>23</v>
      </c>
      <c r="B26" s="120">
        <f t="shared" si="1"/>
        <v>403359.5343283593</v>
      </c>
      <c r="C26" s="113">
        <f t="shared" si="2"/>
        <v>58032.349690746232</v>
      </c>
      <c r="D26" s="113">
        <f>B26*KFW!$E$23</f>
        <v>11858.770309253763</v>
      </c>
      <c r="E26" s="113">
        <f t="shared" si="0"/>
        <v>69891.12</v>
      </c>
    </row>
    <row r="27" spans="1:5">
      <c r="A27" s="122">
        <v>24</v>
      </c>
      <c r="B27" s="120">
        <f t="shared" si="1"/>
        <v>345327.18463761307</v>
      </c>
      <c r="C27" s="113">
        <f t="shared" si="2"/>
        <v>59738.500771654173</v>
      </c>
      <c r="D27" s="113">
        <f>B27*KFW!$E$23</f>
        <v>10152.619228345824</v>
      </c>
      <c r="E27" s="113">
        <f t="shared" si="0"/>
        <v>69891.12</v>
      </c>
    </row>
    <row r="28" spans="1:5">
      <c r="A28" s="122">
        <v>25</v>
      </c>
      <c r="B28" s="120">
        <f t="shared" si="1"/>
        <v>285588.68386595888</v>
      </c>
      <c r="C28" s="113">
        <f t="shared" si="2"/>
        <v>61494.812694340806</v>
      </c>
      <c r="D28" s="113">
        <f>B28*KFW!$E$23</f>
        <v>8396.3073056591911</v>
      </c>
      <c r="E28" s="113">
        <f t="shared" si="0"/>
        <v>69891.12</v>
      </c>
    </row>
    <row r="29" spans="1:5">
      <c r="A29" s="122">
        <v>26</v>
      </c>
      <c r="B29" s="120">
        <f t="shared" si="1"/>
        <v>224093.87117161808</v>
      </c>
      <c r="C29" s="113">
        <f t="shared" si="2"/>
        <v>63302.760187554421</v>
      </c>
      <c r="D29" s="113">
        <f>B29*KFW!$E$23</f>
        <v>6588.3598124455712</v>
      </c>
      <c r="E29" s="113">
        <f t="shared" si="0"/>
        <v>69891.12</v>
      </c>
    </row>
    <row r="30" spans="1:5">
      <c r="A30" s="122">
        <v>27</v>
      </c>
      <c r="B30" s="120">
        <f t="shared" si="1"/>
        <v>160791.11098406365</v>
      </c>
      <c r="C30" s="113">
        <f t="shared" si="2"/>
        <v>65163.861337068527</v>
      </c>
      <c r="D30" s="113">
        <f>B30*KFW!$E$23</f>
        <v>4727.258662931471</v>
      </c>
      <c r="E30" s="113">
        <f t="shared" si="0"/>
        <v>69891.12</v>
      </c>
    </row>
    <row r="31" spans="1:5">
      <c r="A31" s="122">
        <v>28</v>
      </c>
      <c r="B31" s="120">
        <f t="shared" si="1"/>
        <v>95627.249646995129</v>
      </c>
      <c r="C31" s="113">
        <f t="shared" si="2"/>
        <v>67079.678860378335</v>
      </c>
      <c r="D31" s="113">
        <f>B31*KFW!$E$23</f>
        <v>2811.4411396216569</v>
      </c>
      <c r="E31" s="113">
        <f t="shared" si="0"/>
        <v>69891.12</v>
      </c>
    </row>
    <row r="32" spans="1:5">
      <c r="A32" s="122">
        <v>29</v>
      </c>
      <c r="B32" s="120">
        <f t="shared" si="1"/>
        <v>28547.570786616794</v>
      </c>
      <c r="C32" s="113">
        <f t="shared" si="2"/>
        <v>69051.821418873456</v>
      </c>
      <c r="D32" s="113">
        <f>B32*KFW!$E$23</f>
        <v>839.29858112653369</v>
      </c>
      <c r="E32" s="113">
        <f t="shared" si="0"/>
        <v>69891.12</v>
      </c>
    </row>
    <row r="33" spans="1:5">
      <c r="A33" s="6">
        <v>30</v>
      </c>
      <c r="C33" s="5"/>
      <c r="D33" s="5"/>
      <c r="E33" s="5"/>
    </row>
    <row r="34" spans="1:5">
      <c r="A34" s="6">
        <v>31</v>
      </c>
      <c r="C34" s="5"/>
      <c r="D34" s="5"/>
      <c r="E34" s="5"/>
    </row>
    <row r="35" spans="1:5">
      <c r="A35" s="6">
        <v>32</v>
      </c>
      <c r="C35" s="5"/>
      <c r="D35" s="5"/>
      <c r="E35" s="5"/>
    </row>
    <row r="36" spans="1:5">
      <c r="A36" s="6">
        <v>33</v>
      </c>
      <c r="C36" s="5"/>
      <c r="D36" s="5"/>
      <c r="E36" s="5"/>
    </row>
    <row r="37" spans="1:5">
      <c r="A37" s="6">
        <v>34</v>
      </c>
      <c r="C37" s="5"/>
      <c r="D37" s="5"/>
      <c r="E37" s="5"/>
    </row>
    <row r="38" spans="1:5">
      <c r="A38" s="6">
        <v>35</v>
      </c>
      <c r="C38" s="5"/>
      <c r="D38" s="5"/>
      <c r="E38" s="5"/>
    </row>
    <row r="39" spans="1:5">
      <c r="A39" s="6">
        <v>36</v>
      </c>
      <c r="C39" s="5"/>
      <c r="D39" s="5"/>
      <c r="E39" s="5"/>
    </row>
    <row r="40" spans="1:5">
      <c r="A40" s="6">
        <v>37</v>
      </c>
      <c r="C40" s="5"/>
      <c r="D40" s="5"/>
      <c r="E40" s="5"/>
    </row>
    <row r="41" spans="1:5">
      <c r="A41" s="6">
        <v>38</v>
      </c>
      <c r="C41" s="5"/>
      <c r="D41" s="5"/>
      <c r="E41" s="5"/>
    </row>
    <row r="42" spans="1:5">
      <c r="A42" s="6">
        <v>39</v>
      </c>
      <c r="C42" s="5"/>
      <c r="D42" s="5"/>
      <c r="E42" s="5"/>
    </row>
    <row r="43" spans="1:5">
      <c r="A43" s="6">
        <v>40</v>
      </c>
      <c r="C43" s="5"/>
      <c r="D43" s="5"/>
      <c r="E43" s="5"/>
    </row>
    <row r="44" spans="1:5">
      <c r="A44" s="6">
        <v>41</v>
      </c>
      <c r="C44" s="5"/>
      <c r="D44" s="5"/>
      <c r="E44" s="5"/>
    </row>
    <row r="45" spans="1:5">
      <c r="A45" s="6">
        <v>42</v>
      </c>
      <c r="C45" s="5"/>
      <c r="D45" s="5"/>
      <c r="E45" s="5"/>
    </row>
    <row r="46" spans="1:5">
      <c r="A46" s="6">
        <v>43</v>
      </c>
      <c r="C46" s="5"/>
      <c r="D46" s="5"/>
      <c r="E46" s="5"/>
    </row>
    <row r="47" spans="1:5">
      <c r="A47" s="6">
        <v>44</v>
      </c>
      <c r="C47" s="5"/>
      <c r="D47" s="5"/>
      <c r="E47" s="5"/>
    </row>
    <row r="48" spans="1:5">
      <c r="A48" s="6">
        <v>45</v>
      </c>
      <c r="C48" s="5"/>
      <c r="D48" s="5"/>
      <c r="E48" s="5"/>
    </row>
    <row r="49" spans="1:5">
      <c r="A49" s="6">
        <v>46</v>
      </c>
      <c r="C49" s="5"/>
      <c r="D49" s="5"/>
      <c r="E49" s="5"/>
    </row>
    <row r="50" spans="1:5">
      <c r="A50" s="6">
        <v>47</v>
      </c>
      <c r="C50" s="5"/>
      <c r="D50" s="5"/>
      <c r="E50" s="5"/>
    </row>
    <row r="51" spans="1:5">
      <c r="A51" s="6">
        <v>48</v>
      </c>
      <c r="C51" s="5"/>
      <c r="D51" s="5"/>
      <c r="E51" s="5"/>
    </row>
    <row r="52" spans="1:5">
      <c r="A52" s="6">
        <v>49</v>
      </c>
      <c r="C52" s="5"/>
      <c r="D52" s="5"/>
      <c r="E52" s="5"/>
    </row>
    <row r="53" spans="1:5">
      <c r="A53" s="6">
        <v>50</v>
      </c>
      <c r="C53" s="5"/>
      <c r="D53" s="5"/>
      <c r="E53" s="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CBDEC-DFA3-4068-A1A1-77D795E5C811}">
  <dimension ref="B2:H16"/>
  <sheetViews>
    <sheetView workbookViewId="0">
      <selection activeCell="B11" sqref="B11"/>
    </sheetView>
  </sheetViews>
  <sheetFormatPr baseColWidth="10" defaultColWidth="11.453125" defaultRowHeight="18"/>
  <cols>
    <col min="1" max="1" width="11.453125" style="11"/>
    <col min="2" max="2" width="22.7265625" style="11" customWidth="1"/>
    <col min="3" max="3" width="11.453125" style="11"/>
    <col min="4" max="5" width="18" style="11" bestFit="1" customWidth="1"/>
    <col min="6" max="7" width="11.453125" style="11"/>
    <col min="8" max="8" width="18.453125" style="11" bestFit="1" customWidth="1"/>
    <col min="9" max="16384" width="11.453125" style="11"/>
  </cols>
  <sheetData>
    <row r="2" spans="2:8">
      <c r="B2" s="24" t="s">
        <v>98</v>
      </c>
    </row>
    <row r="4" spans="2:8">
      <c r="B4" s="102" t="s">
        <v>92</v>
      </c>
      <c r="C4" s="102"/>
      <c r="D4" s="102"/>
      <c r="E4" s="102"/>
      <c r="F4" s="102"/>
      <c r="G4" s="102"/>
      <c r="H4" s="114">
        <f>KFW!H4-KFW!E19</f>
        <v>825500</v>
      </c>
    </row>
    <row r="8" spans="2:8">
      <c r="B8" s="102" t="s">
        <v>56</v>
      </c>
      <c r="C8" s="102"/>
      <c r="D8" s="102"/>
      <c r="E8" s="115">
        <f>H4</f>
        <v>825500</v>
      </c>
    </row>
    <row r="10" spans="2:8">
      <c r="B10" s="8" t="s">
        <v>113</v>
      </c>
      <c r="C10" s="7" t="s">
        <v>31</v>
      </c>
      <c r="D10" s="7"/>
      <c r="E10" s="28">
        <v>3.5000000000000003E-2</v>
      </c>
      <c r="F10" s="7"/>
    </row>
    <row r="11" spans="2:8">
      <c r="B11" s="8"/>
      <c r="C11" s="7" t="s">
        <v>32</v>
      </c>
      <c r="D11" s="7"/>
      <c r="E11" s="22">
        <v>10</v>
      </c>
      <c r="F11" s="7" t="s">
        <v>34</v>
      </c>
    </row>
    <row r="12" spans="2:8">
      <c r="B12" s="8"/>
      <c r="C12" s="11" t="s">
        <v>33</v>
      </c>
      <c r="E12" s="28">
        <v>0.02</v>
      </c>
      <c r="F12" s="7"/>
    </row>
    <row r="13" spans="2:8">
      <c r="B13" s="8"/>
      <c r="C13" s="7" t="s">
        <v>15</v>
      </c>
      <c r="D13" s="7"/>
      <c r="E13" s="22">
        <v>30</v>
      </c>
      <c r="F13" s="7" t="s">
        <v>34</v>
      </c>
    </row>
    <row r="14" spans="2:8">
      <c r="B14" s="8"/>
      <c r="C14" s="7"/>
      <c r="D14" s="7"/>
      <c r="E14" s="22"/>
      <c r="F14" s="7"/>
    </row>
    <row r="15" spans="2:8">
      <c r="B15" s="105" t="s">
        <v>37</v>
      </c>
      <c r="C15" s="105"/>
      <c r="D15" s="105"/>
      <c r="E15" s="97">
        <f>E16/12</f>
        <v>3783.5416666666665</v>
      </c>
      <c r="F15" s="7"/>
    </row>
    <row r="16" spans="2:8">
      <c r="B16" s="106" t="s">
        <v>36</v>
      </c>
      <c r="C16" s="105"/>
      <c r="D16" s="105"/>
      <c r="E16" s="100">
        <f>'FK Kapitaldienst'!E4</f>
        <v>45402.5</v>
      </c>
      <c r="F16" s="7"/>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DEB7-B1A8-4CD4-B8D7-61504815F3F8}">
  <dimension ref="A1:E53"/>
  <sheetViews>
    <sheetView workbookViewId="0">
      <selection sqref="A1:E30"/>
    </sheetView>
  </sheetViews>
  <sheetFormatPr baseColWidth="10" defaultRowHeight="12.5"/>
  <cols>
    <col min="2" max="2" width="18" style="27" customWidth="1"/>
    <col min="3" max="3" width="11.7265625" bestFit="1" customWidth="1"/>
  </cols>
  <sheetData>
    <row r="1" spans="1:5" ht="13">
      <c r="A1" s="116" t="s">
        <v>1</v>
      </c>
      <c r="B1" s="117"/>
      <c r="C1" s="118"/>
      <c r="D1" s="118"/>
      <c r="E1" s="118"/>
    </row>
    <row r="2" spans="1:5" ht="13">
      <c r="A2" s="119" t="s">
        <v>4</v>
      </c>
      <c r="B2" s="120"/>
      <c r="C2" s="113"/>
      <c r="D2" s="113"/>
      <c r="E2" s="113"/>
    </row>
    <row r="3" spans="1:5" ht="13">
      <c r="A3" s="119" t="s">
        <v>6</v>
      </c>
      <c r="B3" s="121" t="s">
        <v>7</v>
      </c>
      <c r="C3" s="112" t="s">
        <v>8</v>
      </c>
      <c r="D3" s="112" t="s">
        <v>9</v>
      </c>
      <c r="E3" s="112" t="s">
        <v>10</v>
      </c>
    </row>
    <row r="4" spans="1:5">
      <c r="A4" s="122">
        <v>1</v>
      </c>
      <c r="B4" s="120">
        <f>Fremdkapital!E8</f>
        <v>825500</v>
      </c>
      <c r="C4" s="113">
        <f>B4*Fremdkapital!E12</f>
        <v>16510</v>
      </c>
      <c r="D4" s="113">
        <f>B4*Fremdkapital!E10</f>
        <v>28892.500000000004</v>
      </c>
      <c r="E4" s="113">
        <f t="shared" ref="E4:E30" si="0">C4+D4</f>
        <v>45402.5</v>
      </c>
    </row>
    <row r="5" spans="1:5">
      <c r="A5" s="122">
        <v>2</v>
      </c>
      <c r="B5" s="120">
        <f t="shared" ref="B5:B30" si="1">B4-C4</f>
        <v>808990</v>
      </c>
      <c r="C5" s="113">
        <f>E4-D5</f>
        <v>21618.194</v>
      </c>
      <c r="D5" s="113">
        <f>B5*KFW!$E$23</f>
        <v>23784.306</v>
      </c>
      <c r="E5" s="113">
        <f t="shared" si="0"/>
        <v>45402.5</v>
      </c>
    </row>
    <row r="6" spans="1:5">
      <c r="A6" s="122">
        <v>3</v>
      </c>
      <c r="B6" s="120">
        <f t="shared" si="1"/>
        <v>787371.80599999998</v>
      </c>
      <c r="C6" s="113">
        <f t="shared" ref="C6:C30" si="2">E5-D6</f>
        <v>22253.768903600001</v>
      </c>
      <c r="D6" s="113">
        <f>B6*KFW!$E$23</f>
        <v>23148.731096399999</v>
      </c>
      <c r="E6" s="113">
        <f t="shared" si="0"/>
        <v>45402.5</v>
      </c>
    </row>
    <row r="7" spans="1:5">
      <c r="A7" s="122">
        <v>4</v>
      </c>
      <c r="B7" s="120">
        <f t="shared" si="1"/>
        <v>765118.03709639993</v>
      </c>
      <c r="C7" s="113">
        <f t="shared" si="2"/>
        <v>22908.029709365841</v>
      </c>
      <c r="D7" s="113">
        <f>B7*KFW!$E$23</f>
        <v>22494.470290634159</v>
      </c>
      <c r="E7" s="113">
        <f t="shared" si="0"/>
        <v>45402.5</v>
      </c>
    </row>
    <row r="8" spans="1:5">
      <c r="A8" s="122">
        <v>5</v>
      </c>
      <c r="B8" s="120">
        <f t="shared" si="1"/>
        <v>742210.00738703413</v>
      </c>
      <c r="C8" s="113">
        <f t="shared" si="2"/>
        <v>23581.525782821198</v>
      </c>
      <c r="D8" s="113">
        <f>B8*KFW!$E$23</f>
        <v>21820.974217178802</v>
      </c>
      <c r="E8" s="113">
        <f t="shared" si="0"/>
        <v>45402.5</v>
      </c>
    </row>
    <row r="9" spans="1:5">
      <c r="A9" s="122">
        <v>6</v>
      </c>
      <c r="B9" s="120">
        <f t="shared" si="1"/>
        <v>718628.4816042129</v>
      </c>
      <c r="C9" s="113">
        <f t="shared" si="2"/>
        <v>24274.822640836141</v>
      </c>
      <c r="D9" s="113">
        <f>B9*KFW!$E$23</f>
        <v>21127.677359163859</v>
      </c>
      <c r="E9" s="113">
        <f t="shared" si="0"/>
        <v>45402.5</v>
      </c>
    </row>
    <row r="10" spans="1:5">
      <c r="A10" s="122">
        <v>7</v>
      </c>
      <c r="B10" s="120">
        <f t="shared" si="1"/>
        <v>694353.65896337677</v>
      </c>
      <c r="C10" s="113">
        <f t="shared" si="2"/>
        <v>24988.502426476723</v>
      </c>
      <c r="D10" s="113">
        <f>B10*KFW!$E$23</f>
        <v>20413.997573523277</v>
      </c>
      <c r="E10" s="113">
        <f t="shared" si="0"/>
        <v>45402.5</v>
      </c>
    </row>
    <row r="11" spans="1:5">
      <c r="A11" s="122">
        <v>8</v>
      </c>
      <c r="B11" s="120">
        <f t="shared" si="1"/>
        <v>669365.15653690009</v>
      </c>
      <c r="C11" s="113">
        <f t="shared" si="2"/>
        <v>25723.164397815137</v>
      </c>
      <c r="D11" s="113">
        <f>B11*KFW!$E$23</f>
        <v>19679.335602184863</v>
      </c>
      <c r="E11" s="113">
        <f t="shared" si="0"/>
        <v>45402.5</v>
      </c>
    </row>
    <row r="12" spans="1:5">
      <c r="A12" s="122">
        <v>9</v>
      </c>
      <c r="B12" s="120">
        <f t="shared" si="1"/>
        <v>643641.99213908496</v>
      </c>
      <c r="C12" s="113">
        <f t="shared" si="2"/>
        <v>26479.425431110903</v>
      </c>
      <c r="D12" s="113">
        <f>B12*KFW!$E$23</f>
        <v>18923.074568889097</v>
      </c>
      <c r="E12" s="113">
        <f t="shared" si="0"/>
        <v>45402.5</v>
      </c>
    </row>
    <row r="13" spans="1:5">
      <c r="A13" s="122">
        <v>10</v>
      </c>
      <c r="B13" s="120">
        <f t="shared" si="1"/>
        <v>617162.56670797407</v>
      </c>
      <c r="C13" s="113">
        <f t="shared" si="2"/>
        <v>27257.920538785562</v>
      </c>
      <c r="D13" s="113">
        <f>B13*KFW!$E$23</f>
        <v>18144.579461214438</v>
      </c>
      <c r="E13" s="113">
        <f t="shared" si="0"/>
        <v>45402.5</v>
      </c>
    </row>
    <row r="14" spans="1:5">
      <c r="A14" s="122">
        <v>11</v>
      </c>
      <c r="B14" s="120">
        <f t="shared" si="1"/>
        <v>589904.64616918855</v>
      </c>
      <c r="C14" s="113">
        <f t="shared" si="2"/>
        <v>28059.303402625857</v>
      </c>
      <c r="D14" s="113">
        <f>B14*KFW!$E$23</f>
        <v>17343.196597374143</v>
      </c>
      <c r="E14" s="113">
        <f t="shared" si="0"/>
        <v>45402.5</v>
      </c>
    </row>
    <row r="15" spans="1:5">
      <c r="A15" s="122">
        <v>12</v>
      </c>
      <c r="B15" s="120">
        <f t="shared" si="1"/>
        <v>561845.34276656271</v>
      </c>
      <c r="C15" s="113">
        <f t="shared" si="2"/>
        <v>28884.246922663056</v>
      </c>
      <c r="D15" s="113">
        <f>B15*KFW!$E$23</f>
        <v>16518.253077336944</v>
      </c>
      <c r="E15" s="113">
        <f t="shared" si="0"/>
        <v>45402.5</v>
      </c>
    </row>
    <row r="16" spans="1:5">
      <c r="A16" s="122">
        <v>13</v>
      </c>
      <c r="B16" s="120">
        <f t="shared" si="1"/>
        <v>532961.09584389965</v>
      </c>
      <c r="C16" s="113">
        <f t="shared" si="2"/>
        <v>29733.443782189352</v>
      </c>
      <c r="D16" s="113">
        <f>B16*KFW!$E$23</f>
        <v>15669.056217810648</v>
      </c>
      <c r="E16" s="113">
        <f t="shared" si="0"/>
        <v>45402.5</v>
      </c>
    </row>
    <row r="17" spans="1:5">
      <c r="A17" s="122">
        <v>14</v>
      </c>
      <c r="B17" s="120">
        <f t="shared" si="1"/>
        <v>503227.65206171031</v>
      </c>
      <c r="C17" s="113">
        <f t="shared" si="2"/>
        <v>30607.607029385719</v>
      </c>
      <c r="D17" s="113">
        <f>B17*KFW!$E$23</f>
        <v>14794.892970614283</v>
      </c>
      <c r="E17" s="113">
        <f t="shared" si="0"/>
        <v>45402.5</v>
      </c>
    </row>
    <row r="18" spans="1:5">
      <c r="A18" s="122">
        <v>15</v>
      </c>
      <c r="B18" s="120">
        <f t="shared" si="1"/>
        <v>472620.04503232462</v>
      </c>
      <c r="C18" s="113">
        <f t="shared" si="2"/>
        <v>31507.470676049656</v>
      </c>
      <c r="D18" s="113">
        <f>B18*KFW!$E$23</f>
        <v>13895.029323950343</v>
      </c>
      <c r="E18" s="113">
        <f t="shared" si="0"/>
        <v>45402.5</v>
      </c>
    </row>
    <row r="19" spans="1:5">
      <c r="A19" s="122">
        <v>16</v>
      </c>
      <c r="B19" s="120">
        <f t="shared" si="1"/>
        <v>441112.57435627497</v>
      </c>
      <c r="C19" s="113">
        <f t="shared" si="2"/>
        <v>32433.790313925514</v>
      </c>
      <c r="D19" s="113">
        <f>B19*KFW!$E$23</f>
        <v>12968.709686074484</v>
      </c>
      <c r="E19" s="113">
        <f t="shared" si="0"/>
        <v>45402.5</v>
      </c>
    </row>
    <row r="20" spans="1:5">
      <c r="A20" s="122">
        <v>17</v>
      </c>
      <c r="B20" s="120">
        <f t="shared" si="1"/>
        <v>408678.78404234943</v>
      </c>
      <c r="C20" s="113">
        <f t="shared" si="2"/>
        <v>33387.343749154927</v>
      </c>
      <c r="D20" s="113">
        <f>B20*KFW!$E$23</f>
        <v>12015.156250845073</v>
      </c>
      <c r="E20" s="113">
        <f t="shared" si="0"/>
        <v>45402.5</v>
      </c>
    </row>
    <row r="21" spans="1:5">
      <c r="A21" s="122">
        <v>18</v>
      </c>
      <c r="B21" s="120">
        <f t="shared" si="1"/>
        <v>375291.44029319449</v>
      </c>
      <c r="C21" s="113">
        <f t="shared" si="2"/>
        <v>34368.931655380082</v>
      </c>
      <c r="D21" s="113">
        <f>B21*KFW!$E$23</f>
        <v>11033.568344619918</v>
      </c>
      <c r="E21" s="113">
        <f t="shared" si="0"/>
        <v>45402.5</v>
      </c>
    </row>
    <row r="22" spans="1:5">
      <c r="A22" s="122">
        <v>19</v>
      </c>
      <c r="B22" s="120">
        <f t="shared" si="1"/>
        <v>340922.50863781443</v>
      </c>
      <c r="C22" s="113">
        <f t="shared" si="2"/>
        <v>35379.378246048254</v>
      </c>
      <c r="D22" s="113">
        <f>B22*KFW!$E$23</f>
        <v>10023.121753951744</v>
      </c>
      <c r="E22" s="113">
        <f t="shared" si="0"/>
        <v>45402.5</v>
      </c>
    </row>
    <row r="23" spans="1:5">
      <c r="A23" s="122">
        <v>20</v>
      </c>
      <c r="B23" s="120">
        <f t="shared" si="1"/>
        <v>305543.1303917662</v>
      </c>
      <c r="C23" s="113">
        <f t="shared" si="2"/>
        <v>36419.531966482071</v>
      </c>
      <c r="D23" s="113">
        <f>B23*KFW!$E$23</f>
        <v>8982.9680335179255</v>
      </c>
      <c r="E23" s="113">
        <f t="shared" si="0"/>
        <v>45402.5</v>
      </c>
    </row>
    <row r="24" spans="1:5">
      <c r="A24" s="122">
        <v>21</v>
      </c>
      <c r="B24" s="120">
        <f t="shared" si="1"/>
        <v>269123.59842528414</v>
      </c>
      <c r="C24" s="113">
        <f t="shared" si="2"/>
        <v>37490.266206296648</v>
      </c>
      <c r="D24" s="113">
        <f>B24*KFW!$E$23</f>
        <v>7912.2337937033535</v>
      </c>
      <c r="E24" s="113">
        <f t="shared" si="0"/>
        <v>45402.5</v>
      </c>
    </row>
    <row r="25" spans="1:5">
      <c r="A25" s="122">
        <v>22</v>
      </c>
      <c r="B25" s="120">
        <f t="shared" si="1"/>
        <v>231633.33221898749</v>
      </c>
      <c r="C25" s="113">
        <f t="shared" si="2"/>
        <v>38592.48003276177</v>
      </c>
      <c r="D25" s="113">
        <f>B25*KFW!$E$23</f>
        <v>6810.0199672382323</v>
      </c>
      <c r="E25" s="113">
        <f t="shared" si="0"/>
        <v>45402.5</v>
      </c>
    </row>
    <row r="26" spans="1:5">
      <c r="A26" s="122">
        <v>23</v>
      </c>
      <c r="B26" s="120">
        <f t="shared" si="1"/>
        <v>193040.8521862257</v>
      </c>
      <c r="C26" s="113">
        <f t="shared" si="2"/>
        <v>39727.098945724967</v>
      </c>
      <c r="D26" s="113">
        <f>B26*KFW!$E$23</f>
        <v>5675.4010542750357</v>
      </c>
      <c r="E26" s="113">
        <f t="shared" si="0"/>
        <v>45402.5</v>
      </c>
    </row>
    <row r="27" spans="1:5">
      <c r="A27" s="122">
        <v>24</v>
      </c>
      <c r="B27" s="120">
        <f t="shared" si="1"/>
        <v>153313.75324050075</v>
      </c>
      <c r="C27" s="113">
        <f t="shared" si="2"/>
        <v>40895.075654729277</v>
      </c>
      <c r="D27" s="113">
        <f>B27*KFW!$E$23</f>
        <v>4507.4243452707224</v>
      </c>
      <c r="E27" s="113">
        <f t="shared" si="0"/>
        <v>45402.5</v>
      </c>
    </row>
    <row r="28" spans="1:5">
      <c r="A28" s="122">
        <v>25</v>
      </c>
      <c r="B28" s="120">
        <f t="shared" si="1"/>
        <v>112418.67758577148</v>
      </c>
      <c r="C28" s="113">
        <f t="shared" si="2"/>
        <v>42097.390878978316</v>
      </c>
      <c r="D28" s="113">
        <f>B28*KFW!$E$23</f>
        <v>3305.1091210216814</v>
      </c>
      <c r="E28" s="113">
        <f t="shared" si="0"/>
        <v>45402.5</v>
      </c>
    </row>
    <row r="29" spans="1:5">
      <c r="A29" s="122">
        <v>26</v>
      </c>
      <c r="B29" s="120">
        <f t="shared" si="1"/>
        <v>70321.286706793166</v>
      </c>
      <c r="C29" s="113">
        <f t="shared" si="2"/>
        <v>43335.05417082028</v>
      </c>
      <c r="D29" s="113">
        <f>B29*KFW!$E$23</f>
        <v>2067.4458291797191</v>
      </c>
      <c r="E29" s="113">
        <f t="shared" si="0"/>
        <v>45402.5</v>
      </c>
    </row>
    <row r="30" spans="1:5">
      <c r="A30" s="122">
        <v>27</v>
      </c>
      <c r="B30" s="120">
        <f t="shared" si="1"/>
        <v>26986.232535972886</v>
      </c>
      <c r="C30" s="113">
        <f t="shared" si="2"/>
        <v>44609.104763442396</v>
      </c>
      <c r="D30" s="113">
        <f>B30*KFW!$E$23</f>
        <v>793.39523655760286</v>
      </c>
      <c r="E30" s="113">
        <f t="shared" si="0"/>
        <v>45402.5</v>
      </c>
    </row>
    <row r="31" spans="1:5">
      <c r="A31" s="6">
        <v>28</v>
      </c>
      <c r="C31" s="5"/>
      <c r="D31" s="5"/>
      <c r="E31" s="5"/>
    </row>
    <row r="32" spans="1:5">
      <c r="A32" s="6">
        <v>29</v>
      </c>
      <c r="C32" s="5"/>
      <c r="D32" s="5"/>
      <c r="E32" s="5"/>
    </row>
    <row r="33" spans="1:5">
      <c r="A33" s="6">
        <v>30</v>
      </c>
      <c r="C33" s="5"/>
      <c r="D33" s="5"/>
      <c r="E33" s="5"/>
    </row>
    <row r="34" spans="1:5">
      <c r="A34" s="6">
        <v>31</v>
      </c>
      <c r="C34" s="5"/>
      <c r="D34" s="5"/>
      <c r="E34" s="5"/>
    </row>
    <row r="35" spans="1:5">
      <c r="A35" s="6">
        <v>32</v>
      </c>
      <c r="C35" s="5"/>
      <c r="D35" s="5"/>
      <c r="E35" s="5"/>
    </row>
    <row r="36" spans="1:5">
      <c r="A36" s="6">
        <v>33</v>
      </c>
      <c r="C36" s="5"/>
      <c r="D36" s="5"/>
      <c r="E36" s="5"/>
    </row>
    <row r="37" spans="1:5">
      <c r="A37" s="6">
        <v>34</v>
      </c>
      <c r="C37" s="5"/>
      <c r="D37" s="5"/>
      <c r="E37" s="5"/>
    </row>
    <row r="38" spans="1:5">
      <c r="A38" s="6">
        <v>35</v>
      </c>
      <c r="C38" s="5"/>
      <c r="D38" s="5"/>
      <c r="E38" s="5"/>
    </row>
    <row r="39" spans="1:5">
      <c r="A39" s="6">
        <v>36</v>
      </c>
      <c r="C39" s="5"/>
      <c r="D39" s="5"/>
      <c r="E39" s="5"/>
    </row>
    <row r="40" spans="1:5">
      <c r="A40" s="6">
        <v>37</v>
      </c>
      <c r="C40" s="5"/>
      <c r="D40" s="5"/>
      <c r="E40" s="5"/>
    </row>
    <row r="41" spans="1:5">
      <c r="A41" s="6">
        <v>38</v>
      </c>
      <c r="C41" s="5"/>
      <c r="D41" s="5"/>
      <c r="E41" s="5"/>
    </row>
    <row r="42" spans="1:5">
      <c r="A42" s="6">
        <v>39</v>
      </c>
      <c r="C42" s="5"/>
      <c r="D42" s="5"/>
      <c r="E42" s="5"/>
    </row>
    <row r="43" spans="1:5">
      <c r="A43" s="6">
        <v>40</v>
      </c>
      <c r="C43" s="5"/>
      <c r="D43" s="5"/>
      <c r="E43" s="5"/>
    </row>
    <row r="44" spans="1:5">
      <c r="A44" s="6">
        <v>41</v>
      </c>
      <c r="C44" s="5"/>
      <c r="D44" s="5"/>
      <c r="E44" s="5"/>
    </row>
    <row r="45" spans="1:5">
      <c r="A45" s="6">
        <v>42</v>
      </c>
      <c r="C45" s="5"/>
      <c r="D45" s="5"/>
      <c r="E45" s="5"/>
    </row>
    <row r="46" spans="1:5">
      <c r="A46" s="6">
        <v>43</v>
      </c>
      <c r="C46" s="5"/>
      <c r="D46" s="5"/>
      <c r="E46" s="5"/>
    </row>
    <row r="47" spans="1:5">
      <c r="A47" s="6">
        <v>44</v>
      </c>
      <c r="C47" s="5"/>
      <c r="D47" s="5"/>
      <c r="E47" s="5"/>
    </row>
    <row r="48" spans="1:5">
      <c r="A48" s="6">
        <v>45</v>
      </c>
      <c r="C48" s="5"/>
      <c r="D48" s="5"/>
      <c r="E48" s="5"/>
    </row>
    <row r="49" spans="1:5">
      <c r="A49" s="6">
        <v>46</v>
      </c>
      <c r="C49" s="5"/>
      <c r="D49" s="5"/>
      <c r="E49" s="5"/>
    </row>
    <row r="50" spans="1:5">
      <c r="A50" s="6">
        <v>47</v>
      </c>
      <c r="C50" s="5"/>
      <c r="D50" s="5"/>
      <c r="E50" s="5"/>
    </row>
    <row r="51" spans="1:5">
      <c r="A51" s="6">
        <v>48</v>
      </c>
      <c r="C51" s="5"/>
      <c r="D51" s="5"/>
      <c r="E51" s="5"/>
    </row>
    <row r="52" spans="1:5">
      <c r="A52" s="6">
        <v>49</v>
      </c>
      <c r="C52" s="5"/>
      <c r="D52" s="5"/>
      <c r="E52" s="5"/>
    </row>
    <row r="53" spans="1:5">
      <c r="A53" s="6">
        <v>50</v>
      </c>
      <c r="C53" s="5"/>
      <c r="D53" s="5"/>
      <c r="E53" s="5"/>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Einführung</vt:lpstr>
      <vt:lpstr>Investition Bestand</vt:lpstr>
      <vt:lpstr>Wohnungen</vt:lpstr>
      <vt:lpstr>Eigenmittel_Förderung</vt:lpstr>
      <vt:lpstr>EK Kapitaldienst</vt:lpstr>
      <vt:lpstr>KFW</vt:lpstr>
      <vt:lpstr>KFW Kapitaldienst</vt:lpstr>
      <vt:lpstr>Fremdkapital</vt:lpstr>
      <vt:lpstr>FK Kapitaldienst</vt:lpstr>
      <vt:lpstr>InvestitionÜbersicht</vt:lpstr>
      <vt:lpstr>Mntl. Kosten</vt:lpstr>
      <vt:lpstr>Mieteinnahmen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Schultz-Adebahr</dc:creator>
  <cp:lastModifiedBy>Petra Schultz-Adebahr</cp:lastModifiedBy>
  <cp:revision>6</cp:revision>
  <dcterms:created xsi:type="dcterms:W3CDTF">2026-01-17T14:23:39Z</dcterms:created>
  <dcterms:modified xsi:type="dcterms:W3CDTF">2026-03-20T09:24:42Z</dcterms:modified>
</cp:coreProperties>
</file>