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pschu\Nextcloud3\01 Beratungsstelle\06 Materialien\Finanzierung\"/>
    </mc:Choice>
  </mc:AlternateContent>
  <xr:revisionPtr revIDLastSave="0" documentId="8_{49D1A4DD-E0EE-4131-85E8-24D69277E96C}" xr6:coauthVersionLast="47" xr6:coauthVersionMax="47" xr10:uidLastSave="{00000000-0000-0000-0000-000000000000}"/>
  <bookViews>
    <workbookView xWindow="-120" yWindow="-120" windowWidth="29040" windowHeight="15720" xr2:uid="{5A2D5052-4855-466F-8A7F-A111953074C2}"/>
  </bookViews>
  <sheets>
    <sheet name="Einführung" sheetId="14" r:id="rId1"/>
    <sheet name="Investition Neubau" sheetId="18" r:id="rId2"/>
    <sheet name="Wohnungen" sheetId="8" r:id="rId3"/>
    <sheet name="Eigenmittel_Förderung" sheetId="7" r:id="rId4"/>
    <sheet name="EK Kapitaldienst" sheetId="3" r:id="rId5"/>
    <sheet name="KFW" sheetId="9" r:id="rId6"/>
    <sheet name="KFW Kapitaldienst" sheetId="2" r:id="rId7"/>
    <sheet name="Fremdkapital" sheetId="15" r:id="rId8"/>
    <sheet name="FK Kapitaldienst" sheetId="16" r:id="rId9"/>
    <sheet name="InvestitionÜbersicht" sheetId="10" r:id="rId10"/>
    <sheet name="Mntl. Kosten" sheetId="12" r:id="rId11"/>
    <sheet name="Mieteinnahmen"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8" l="1"/>
  <c r="E6" i="8"/>
  <c r="E7" i="8"/>
  <c r="E8" i="8"/>
  <c r="E9" i="8"/>
  <c r="E10" i="8"/>
  <c r="E11" i="8"/>
  <c r="E12" i="8"/>
  <c r="E13" i="8"/>
  <c r="E14" i="8"/>
  <c r="E15" i="8"/>
  <c r="E16" i="8"/>
  <c r="E17" i="8"/>
  <c r="E18" i="8"/>
  <c r="E19" i="8"/>
  <c r="E20" i="8"/>
  <c r="E21" i="8"/>
  <c r="E22" i="8"/>
  <c r="E23" i="8"/>
  <c r="E24" i="8"/>
  <c r="E25" i="8"/>
  <c r="E26" i="8"/>
  <c r="E4" i="8"/>
  <c r="E23" i="7"/>
  <c r="C13" i="18"/>
  <c r="C10" i="18"/>
  <c r="C30" i="18"/>
  <c r="C3" i="18"/>
  <c r="C32" i="18" s="1"/>
  <c r="D53" i="7"/>
  <c r="D28" i="7"/>
  <c r="C3" i="13" s="1"/>
  <c r="E3" i="13" s="1"/>
  <c r="N26" i="8"/>
  <c r="N15" i="8"/>
  <c r="N9" i="8"/>
  <c r="C20" i="18"/>
  <c r="C21" i="18" s="1"/>
  <c r="H13" i="9"/>
  <c r="E19" i="12"/>
  <c r="C7" i="13"/>
  <c r="E7" i="13" s="1"/>
  <c r="E48" i="7"/>
  <c r="C16" i="12"/>
  <c r="C15" i="12"/>
  <c r="M26" i="8"/>
  <c r="H22" i="8"/>
  <c r="H23" i="8"/>
  <c r="H24" i="8"/>
  <c r="H25" i="8"/>
  <c r="H26" i="8"/>
  <c r="D30" i="8"/>
  <c r="C37" i="8"/>
  <c r="D3" i="13"/>
  <c r="D4" i="10"/>
  <c r="B4" i="3"/>
  <c r="H5" i="8"/>
  <c r="H6" i="8"/>
  <c r="H7" i="8"/>
  <c r="H8" i="8"/>
  <c r="H9" i="8"/>
  <c r="H10" i="8"/>
  <c r="H11" i="8"/>
  <c r="H12" i="8"/>
  <c r="H13" i="8"/>
  <c r="H14" i="8"/>
  <c r="H15" i="8"/>
  <c r="H16" i="8"/>
  <c r="H17" i="8"/>
  <c r="H18" i="8"/>
  <c r="H19" i="8"/>
  <c r="H20" i="8"/>
  <c r="H21" i="8"/>
  <c r="H27" i="8"/>
  <c r="H4" i="8"/>
  <c r="B16" i="12"/>
  <c r="E10" i="7"/>
  <c r="C3" i="12" s="1"/>
  <c r="C30" i="8"/>
  <c r="E25" i="7" l="1"/>
  <c r="D7" i="10" s="1"/>
  <c r="C26" i="18"/>
  <c r="C36" i="18" s="1"/>
  <c r="K15" i="8"/>
  <c r="K11" i="8"/>
  <c r="K9" i="8"/>
  <c r="K5" i="8"/>
  <c r="K6" i="8"/>
  <c r="K12" i="8"/>
  <c r="K10" i="8"/>
  <c r="K7" i="8"/>
  <c r="K4" i="8"/>
  <c r="K19" i="8"/>
  <c r="K18" i="8"/>
  <c r="K17" i="8"/>
  <c r="K16" i="8"/>
  <c r="K23" i="8"/>
  <c r="K20" i="8"/>
  <c r="K8" i="8"/>
  <c r="K26" i="8"/>
  <c r="K22" i="8"/>
  <c r="K25" i="8"/>
  <c r="K21" i="8"/>
  <c r="K14" i="8"/>
  <c r="K13" i="8"/>
  <c r="K24" i="8"/>
  <c r="C15" i="13"/>
  <c r="C12" i="13" s="1"/>
  <c r="E7" i="7"/>
  <c r="D3" i="10" s="1"/>
  <c r="F22" i="8"/>
  <c r="F23" i="8"/>
  <c r="F24" i="8"/>
  <c r="F25" i="8"/>
  <c r="F26" i="8"/>
  <c r="B4" i="2"/>
  <c r="D13" i="10"/>
  <c r="E50" i="7"/>
  <c r="D10" i="10" s="1"/>
  <c r="E49" i="7"/>
  <c r="D4" i="3"/>
  <c r="C4" i="3"/>
  <c r="D16" i="12"/>
  <c r="E16" i="12" s="1"/>
  <c r="D3" i="12"/>
  <c r="E3" i="12" s="1"/>
  <c r="D15" i="12"/>
  <c r="E15" i="12" s="1"/>
  <c r="E11" i="7"/>
  <c r="F5" i="8"/>
  <c r="F6" i="8"/>
  <c r="F7" i="8"/>
  <c r="F8" i="8"/>
  <c r="F9" i="8"/>
  <c r="F10" i="8"/>
  <c r="F11" i="8"/>
  <c r="F12" i="8"/>
  <c r="F13" i="8"/>
  <c r="F14" i="8"/>
  <c r="F15" i="8"/>
  <c r="F16" i="8"/>
  <c r="F17" i="8"/>
  <c r="F18" i="8"/>
  <c r="F19" i="8"/>
  <c r="F20" i="8"/>
  <c r="F21" i="8"/>
  <c r="D33" i="8"/>
  <c r="D35" i="8" s="1"/>
  <c r="C37" i="18" l="1"/>
  <c r="C38" i="18" s="1"/>
  <c r="H12" i="9"/>
  <c r="E13" i="7"/>
  <c r="F4" i="8"/>
  <c r="F30" i="8" s="1"/>
  <c r="E30" i="8"/>
  <c r="E4" i="7" l="1"/>
  <c r="C40" i="18"/>
  <c r="E5" i="7" l="1"/>
  <c r="E15" i="7"/>
  <c r="E29" i="7"/>
  <c r="E30" i="7" s="1"/>
  <c r="E32" i="7" s="1"/>
  <c r="E54" i="7"/>
  <c r="E55" i="7" s="1"/>
  <c r="E57" i="7" s="1"/>
  <c r="E14" i="7"/>
  <c r="D6" i="10" l="1"/>
  <c r="E72" i="7"/>
  <c r="H4" i="9" s="1"/>
  <c r="H4" i="15" s="1"/>
  <c r="E34" i="7"/>
  <c r="E41" i="7" s="1"/>
  <c r="D9" i="10"/>
  <c r="E59" i="7"/>
  <c r="E66" i="7" s="1"/>
  <c r="E67" i="7" l="1"/>
  <c r="C5" i="12"/>
  <c r="D5" i="12" s="1"/>
  <c r="E5" i="12" s="1"/>
  <c r="E42" i="7"/>
  <c r="C4" i="12"/>
  <c r="D4" i="12" s="1"/>
  <c r="E4" i="12" s="1"/>
  <c r="C4" i="2"/>
  <c r="D4" i="2"/>
  <c r="E4" i="3"/>
  <c r="B5" i="3"/>
  <c r="D5" i="3" s="1"/>
  <c r="E4" i="2" l="1"/>
  <c r="E22" i="9" s="1"/>
  <c r="E21" i="9" s="1"/>
  <c r="C6" i="12" s="1"/>
  <c r="B5" i="2"/>
  <c r="D5" i="2" s="1"/>
  <c r="C5" i="3"/>
  <c r="D6" i="12" l="1"/>
  <c r="E6" i="12" s="1"/>
  <c r="C5" i="2"/>
  <c r="B6" i="3"/>
  <c r="D6" i="3" s="1"/>
  <c r="E5" i="3"/>
  <c r="E5" i="2" l="1"/>
  <c r="B6" i="2"/>
  <c r="D6" i="2" s="1"/>
  <c r="C6" i="3"/>
  <c r="C6" i="2" l="1"/>
  <c r="E6" i="3"/>
  <c r="B7" i="3"/>
  <c r="D7" i="3" s="1"/>
  <c r="E6" i="2" l="1"/>
  <c r="B7" i="2"/>
  <c r="D7" i="2" s="1"/>
  <c r="C7" i="3"/>
  <c r="C7" i="2" l="1"/>
  <c r="E7" i="3"/>
  <c r="B8" i="3"/>
  <c r="D8" i="3" s="1"/>
  <c r="E7" i="2" l="1"/>
  <c r="B8" i="2"/>
  <c r="D8" i="2" s="1"/>
  <c r="C8" i="3"/>
  <c r="C8" i="2" l="1"/>
  <c r="E8" i="3"/>
  <c r="B9" i="3"/>
  <c r="D9" i="3" s="1"/>
  <c r="E8" i="2" l="1"/>
  <c r="B9" i="2"/>
  <c r="D9" i="2" s="1"/>
  <c r="C9" i="3"/>
  <c r="C9" i="2" l="1"/>
  <c r="E9" i="3"/>
  <c r="B10" i="3"/>
  <c r="D10" i="3" s="1"/>
  <c r="E9" i="2" l="1"/>
  <c r="B10" i="2"/>
  <c r="D10" i="2" s="1"/>
  <c r="C10" i="3"/>
  <c r="C10" i="2" l="1"/>
  <c r="E10" i="3"/>
  <c r="B11" i="3"/>
  <c r="D11" i="3" s="1"/>
  <c r="E10" i="2" l="1"/>
  <c r="B11" i="2"/>
  <c r="D11" i="2" s="1"/>
  <c r="C11" i="3"/>
  <c r="C11" i="2" l="1"/>
  <c r="B12" i="3"/>
  <c r="D12" i="3" s="1"/>
  <c r="E11" i="3"/>
  <c r="E11" i="2" l="1"/>
  <c r="B12" i="2"/>
  <c r="D12" i="2" s="1"/>
  <c r="C12" i="3"/>
  <c r="C12" i="2" l="1"/>
  <c r="E12" i="3"/>
  <c r="B13" i="3"/>
  <c r="D13" i="3" s="1"/>
  <c r="B13" i="2" l="1"/>
  <c r="D13" i="2" s="1"/>
  <c r="E12" i="2"/>
  <c r="C13" i="2"/>
  <c r="C13" i="3"/>
  <c r="E13" i="2" l="1"/>
  <c r="B14" i="2"/>
  <c r="D14" i="2" s="1"/>
  <c r="E13" i="3"/>
  <c r="B14" i="3"/>
  <c r="D14" i="3" s="1"/>
  <c r="C14" i="2" l="1"/>
  <c r="C14" i="3"/>
  <c r="E14" i="2" l="1"/>
  <c r="B15" i="2"/>
  <c r="D15" i="2" s="1"/>
  <c r="E14" i="3"/>
  <c r="B15" i="3"/>
  <c r="D15" i="3" s="1"/>
  <c r="C15" i="2" l="1"/>
  <c r="C15" i="3"/>
  <c r="E15" i="2" l="1"/>
  <c r="B16" i="2"/>
  <c r="D16" i="2" s="1"/>
  <c r="E15" i="3"/>
  <c r="B16" i="3"/>
  <c r="D16" i="3" s="1"/>
  <c r="C16" i="2" l="1"/>
  <c r="C16" i="3"/>
  <c r="E16" i="2" l="1"/>
  <c r="B17" i="2"/>
  <c r="D17" i="2" s="1"/>
  <c r="E16" i="3"/>
  <c r="B17" i="3"/>
  <c r="D17" i="3" s="1"/>
  <c r="C17" i="2" l="1"/>
  <c r="C17" i="3"/>
  <c r="E17" i="2" l="1"/>
  <c r="B18" i="2"/>
  <c r="D18" i="2" s="1"/>
  <c r="E17" i="3"/>
  <c r="B18" i="3"/>
  <c r="D18" i="3" s="1"/>
  <c r="C18" i="3" l="1"/>
  <c r="C18" i="2"/>
  <c r="E18" i="3" l="1"/>
  <c r="B19" i="3"/>
  <c r="D19" i="3" s="1"/>
  <c r="E18" i="2"/>
  <c r="B19" i="2"/>
  <c r="D19" i="2" s="1"/>
  <c r="C19" i="3" l="1"/>
  <c r="C19" i="2"/>
  <c r="B20" i="3" l="1"/>
  <c r="D20" i="3" s="1"/>
  <c r="E19" i="3"/>
  <c r="B20" i="2"/>
  <c r="D20" i="2" s="1"/>
  <c r="E19" i="2"/>
  <c r="C20" i="3" l="1"/>
  <c r="C20" i="2"/>
  <c r="B21" i="3" l="1"/>
  <c r="D21" i="3" s="1"/>
  <c r="E20" i="3"/>
  <c r="B21" i="2"/>
  <c r="D21" i="2" s="1"/>
  <c r="E20" i="2"/>
  <c r="C21" i="3" l="1"/>
  <c r="C21" i="2"/>
  <c r="B22" i="3" l="1"/>
  <c r="D22" i="3" s="1"/>
  <c r="E21" i="3"/>
  <c r="E21" i="2"/>
  <c r="B22" i="2"/>
  <c r="D22" i="2" s="1"/>
  <c r="C22" i="3" l="1"/>
  <c r="C22" i="2"/>
  <c r="B23" i="3" l="1"/>
  <c r="D23" i="3" s="1"/>
  <c r="E22" i="3"/>
  <c r="E22" i="2"/>
  <c r="B23" i="2"/>
  <c r="D23" i="2" s="1"/>
  <c r="C23" i="3" l="1"/>
  <c r="C23" i="2"/>
  <c r="B24" i="3" l="1"/>
  <c r="D24" i="3" s="1"/>
  <c r="E23" i="3"/>
  <c r="E23" i="2"/>
  <c r="B24" i="2"/>
  <c r="D24" i="2" s="1"/>
  <c r="C24" i="3" l="1"/>
  <c r="C24" i="2"/>
  <c r="E24" i="3" l="1"/>
  <c r="B25" i="3"/>
  <c r="D25" i="3" s="1"/>
  <c r="B25" i="2"/>
  <c r="D25" i="2" s="1"/>
  <c r="E24" i="2"/>
  <c r="C25" i="3" l="1"/>
  <c r="C25" i="2"/>
  <c r="B26" i="3" l="1"/>
  <c r="D26" i="3" s="1"/>
  <c r="E25" i="3"/>
  <c r="E25" i="2"/>
  <c r="B26" i="2"/>
  <c r="D26" i="2" s="1"/>
  <c r="C26" i="3" l="1"/>
  <c r="C26" i="2"/>
  <c r="B27" i="3" l="1"/>
  <c r="D27" i="3" s="1"/>
  <c r="E26" i="3"/>
  <c r="E26" i="2"/>
  <c r="B27" i="2"/>
  <c r="D27" i="2" s="1"/>
  <c r="C27" i="3" l="1"/>
  <c r="C27" i="2"/>
  <c r="E27" i="3" l="1"/>
  <c r="B28" i="3"/>
  <c r="D28" i="3" s="1"/>
  <c r="B28" i="2"/>
  <c r="D28" i="2" s="1"/>
  <c r="E27" i="2"/>
  <c r="C28" i="3" l="1"/>
  <c r="C28" i="2"/>
  <c r="B29" i="3" l="1"/>
  <c r="D29" i="3" s="1"/>
  <c r="E28" i="3"/>
  <c r="E28" i="2"/>
  <c r="B29" i="2"/>
  <c r="D29" i="2" s="1"/>
  <c r="C29" i="3" l="1"/>
  <c r="C29" i="2"/>
  <c r="E29" i="3" l="1"/>
  <c r="B30" i="3"/>
  <c r="D30" i="3" s="1"/>
  <c r="E29" i="2"/>
  <c r="B30" i="2"/>
  <c r="D30" i="2" s="1"/>
  <c r="C30" i="3" l="1"/>
  <c r="C30" i="2"/>
  <c r="B31" i="3" l="1"/>
  <c r="D31" i="3" s="1"/>
  <c r="E30" i="3"/>
  <c r="E30" i="2"/>
  <c r="B31" i="2"/>
  <c r="D31" i="2" s="1"/>
  <c r="C31" i="3" l="1"/>
  <c r="C31" i="2"/>
  <c r="E31" i="3" l="1"/>
  <c r="B32" i="3"/>
  <c r="D32" i="3" s="1"/>
  <c r="B32" i="2"/>
  <c r="E31" i="2"/>
  <c r="D32" i="2" l="1"/>
  <c r="C32" i="2" s="1"/>
  <c r="C32" i="3"/>
  <c r="E32" i="3" s="1"/>
  <c r="B33" i="2" l="1"/>
  <c r="D33" i="2" s="1"/>
  <c r="E32" i="2"/>
  <c r="E8" i="15"/>
  <c r="B4" i="16" s="1"/>
  <c r="D16" i="10"/>
  <c r="D19" i="10" s="1"/>
  <c r="C33" i="2" l="1"/>
  <c r="E33" i="2" s="1"/>
  <c r="D4" i="16"/>
  <c r="C4" i="16"/>
  <c r="B5" i="16" l="1"/>
  <c r="D5" i="16" s="1"/>
  <c r="E4" i="16"/>
  <c r="E16" i="15" s="1"/>
  <c r="E15" i="15" s="1"/>
  <c r="C7" i="12" s="1"/>
  <c r="C9" i="12" s="1"/>
  <c r="D9" i="12" s="1"/>
  <c r="E9" i="12" s="1"/>
  <c r="C5" i="16" l="1"/>
  <c r="D7" i="12"/>
  <c r="E7" i="12" s="1"/>
  <c r="E5" i="16" l="1"/>
  <c r="B6" i="16"/>
  <c r="D6" i="16" s="1"/>
  <c r="C6" i="16" l="1"/>
  <c r="B7" i="16" l="1"/>
  <c r="D7" i="16" s="1"/>
  <c r="E6" i="16"/>
  <c r="C7" i="16" l="1"/>
  <c r="B8" i="16" l="1"/>
  <c r="D8" i="16" s="1"/>
  <c r="E7" i="16"/>
  <c r="C8" i="16" l="1"/>
  <c r="B9" i="16" l="1"/>
  <c r="D9" i="16" s="1"/>
  <c r="E8" i="16"/>
  <c r="C9" i="16" l="1"/>
  <c r="B10" i="16" l="1"/>
  <c r="D10" i="16" s="1"/>
  <c r="E9" i="16"/>
  <c r="C10" i="16" l="1"/>
  <c r="E10" i="16" l="1"/>
  <c r="B11" i="16"/>
  <c r="D11" i="16" s="1"/>
  <c r="C11" i="16" l="1"/>
  <c r="B12" i="16" l="1"/>
  <c r="D12" i="16" s="1"/>
  <c r="E11" i="16"/>
  <c r="C12" i="16" l="1"/>
  <c r="E12" i="16" l="1"/>
  <c r="B13" i="16"/>
  <c r="D13" i="16" s="1"/>
  <c r="C13" i="16" l="1"/>
  <c r="E13" i="16" l="1"/>
  <c r="B14" i="16"/>
  <c r="D14" i="16" s="1"/>
  <c r="C14" i="16" l="1"/>
  <c r="B15" i="16" l="1"/>
  <c r="D15" i="16" s="1"/>
  <c r="E14" i="16"/>
  <c r="C15" i="16" l="1"/>
  <c r="E15" i="16" l="1"/>
  <c r="B16" i="16"/>
  <c r="D16" i="16" s="1"/>
  <c r="C16" i="16" l="1"/>
  <c r="B17" i="16" l="1"/>
  <c r="D17" i="16" s="1"/>
  <c r="C17" i="16" s="1"/>
  <c r="E16" i="16"/>
  <c r="E17" i="16" l="1"/>
  <c r="B18" i="16"/>
  <c r="D18" i="16" s="1"/>
  <c r="C18" i="16" l="1"/>
  <c r="E18" i="16" l="1"/>
  <c r="B19" i="16"/>
  <c r="D19" i="16" s="1"/>
  <c r="C19" i="16" l="1"/>
  <c r="E19" i="16" l="1"/>
  <c r="B20" i="16"/>
  <c r="D20" i="16" s="1"/>
  <c r="C20" i="16" l="1"/>
  <c r="E20" i="16" l="1"/>
  <c r="B21" i="16"/>
  <c r="D21" i="16"/>
  <c r="C21" i="16" l="1"/>
  <c r="E21" i="16" l="1"/>
  <c r="B22" i="16"/>
  <c r="D22" i="16" s="1"/>
  <c r="C22" i="16" s="1"/>
  <c r="E22" i="16" l="1"/>
  <c r="B23" i="16"/>
  <c r="D23" i="16" s="1"/>
  <c r="C23" i="16" l="1"/>
  <c r="E23" i="16" l="1"/>
  <c r="B24" i="16"/>
  <c r="D24" i="16" s="1"/>
  <c r="C24" i="16" l="1"/>
  <c r="B25" i="16" l="1"/>
  <c r="D25" i="16" s="1"/>
  <c r="E24" i="16"/>
  <c r="C25" i="16" l="1"/>
  <c r="E25" i="16" l="1"/>
  <c r="B26" i="16"/>
  <c r="D26" i="16" s="1"/>
  <c r="C26" i="16" l="1"/>
  <c r="B27" i="16" l="1"/>
  <c r="D27" i="16" s="1"/>
  <c r="E26" i="16"/>
  <c r="C27" i="16" l="1"/>
  <c r="E27" i="16" l="1"/>
  <c r="B28" i="16"/>
  <c r="D28" i="16" s="1"/>
  <c r="C28" i="16" l="1"/>
  <c r="B29" i="16" l="1"/>
  <c r="D29" i="16" s="1"/>
  <c r="E28" i="16"/>
  <c r="C29" i="16" l="1"/>
  <c r="C21" i="12"/>
  <c r="E29" i="16" l="1"/>
  <c r="B30" i="16"/>
  <c r="C23" i="12"/>
  <c r="D21" i="12"/>
  <c r="E21" i="12" s="1"/>
  <c r="D23" i="12" l="1"/>
  <c r="C25" i="12"/>
  <c r="D30" i="16"/>
  <c r="C30" i="16" s="1"/>
  <c r="D25" i="12" l="1"/>
  <c r="E25" i="12" s="1"/>
  <c r="C27" i="12"/>
  <c r="D27" i="12" s="1"/>
  <c r="D15" i="13" s="1"/>
  <c r="E15" i="13" s="1"/>
  <c r="D12" i="13" s="1"/>
  <c r="E12" i="13" s="1"/>
  <c r="B31" i="16"/>
  <c r="D31" i="16" s="1"/>
  <c r="E30" i="16"/>
  <c r="C31" i="16" l="1"/>
  <c r="E31" i="16" l="1"/>
  <c r="B32" i="16"/>
  <c r="D32" i="16" l="1"/>
  <c r="C32" i="16" s="1"/>
  <c r="E32" i="16" l="1"/>
  <c r="B33" i="16"/>
  <c r="D33" i="16" s="1"/>
  <c r="C33" i="16" l="1"/>
  <c r="E33" i="16" s="1"/>
</calcChain>
</file>

<file path=xl/sharedStrings.xml><?xml version="1.0" encoding="utf-8"?>
<sst xmlns="http://schemas.openxmlformats.org/spreadsheetml/2006/main" count="207" uniqueCount="135">
  <si>
    <t>Monatliche Kosten</t>
  </si>
  <si>
    <t>Kreditplan</t>
  </si>
  <si>
    <t>Gesamt</t>
  </si>
  <si>
    <t>FK:</t>
  </si>
  <si>
    <t>EK</t>
  </si>
  <si>
    <t>Jahr</t>
  </si>
  <si>
    <t>Restkredit</t>
  </si>
  <si>
    <t>Tilgung</t>
  </si>
  <si>
    <t>Zins</t>
  </si>
  <si>
    <t>Annuität</t>
  </si>
  <si>
    <t>Annuität monatl. Gesamt</t>
  </si>
  <si>
    <t>Puffer</t>
  </si>
  <si>
    <t>Gesamtfinanzierung</t>
  </si>
  <si>
    <t>Laufzeit</t>
  </si>
  <si>
    <t>Kostenkalkulation Investion Wohnprojekt</t>
  </si>
  <si>
    <t>Grunderwerbssteuer Kaufpreis</t>
  </si>
  <si>
    <t>zuzüglich</t>
  </si>
  <si>
    <t>QM</t>
  </si>
  <si>
    <t>oder</t>
  </si>
  <si>
    <t>pro QM Wohnfläche</t>
  </si>
  <si>
    <t>davon 0% Zinsen</t>
  </si>
  <si>
    <t>davon xy% Zinsen</t>
  </si>
  <si>
    <t>Förderung</t>
  </si>
  <si>
    <t>Zuschuss</t>
  </si>
  <si>
    <t>Zinssatz</t>
  </si>
  <si>
    <t>Sollzinsbindung</t>
  </si>
  <si>
    <t>anfängliche Tilgung</t>
  </si>
  <si>
    <t>Jahre</t>
  </si>
  <si>
    <t>Förderdarlehen</t>
  </si>
  <si>
    <t>Belastung pa</t>
  </si>
  <si>
    <t>Belastung pm</t>
  </si>
  <si>
    <r>
      <rPr>
        <b/>
        <sz val="12"/>
        <color rgb="FFFF0000"/>
        <rFont val="Open Sans"/>
        <family val="2"/>
      </rPr>
      <t>evtl.</t>
    </r>
    <r>
      <rPr>
        <b/>
        <sz val="12"/>
        <color theme="1"/>
        <rFont val="Open Sans"/>
        <family val="2"/>
      </rPr>
      <t xml:space="preserve"> Makler</t>
    </r>
  </si>
  <si>
    <r>
      <t xml:space="preserve">Notariat und Grundbuch </t>
    </r>
    <r>
      <rPr>
        <b/>
        <sz val="8"/>
        <color theme="1"/>
        <rFont val="Open Sans"/>
        <family val="2"/>
      </rPr>
      <t>(prozentual)</t>
    </r>
  </si>
  <si>
    <t>Eigenmittel</t>
  </si>
  <si>
    <t>Anzahl Wohnungen</t>
  </si>
  <si>
    <t>pro Wohnung</t>
  </si>
  <si>
    <t>Zimmer</t>
  </si>
  <si>
    <t>QM Wohnfläche</t>
  </si>
  <si>
    <t>6 Nachrangdarlehen oder Soli-Einlagen</t>
  </si>
  <si>
    <t>Gesamteigenmittel</t>
  </si>
  <si>
    <t>zum Beispiel</t>
  </si>
  <si>
    <t>Mieteinnahmen</t>
  </si>
  <si>
    <t>WBS</t>
  </si>
  <si>
    <t>pm</t>
  </si>
  <si>
    <t>Freie</t>
  </si>
  <si>
    <t>Kreditsumme</t>
  </si>
  <si>
    <t>Annuität:</t>
  </si>
  <si>
    <t>Annuität monatl. nur Eigenmittel</t>
  </si>
  <si>
    <t>Annuität monatl. nur kommunale Förderung</t>
  </si>
  <si>
    <t>Annuität monatl. nur KFW</t>
  </si>
  <si>
    <t>Annuität monatl. nur FK</t>
  </si>
  <si>
    <t>sonstige Kosten:</t>
  </si>
  <si>
    <t>MAW (2% Einnahmen)</t>
  </si>
  <si>
    <t>z.B. Genossenschaftspflichteinlagen mit € 1.500.-€ Wfl.</t>
  </si>
  <si>
    <t>Verteilung der Wohnungen</t>
  </si>
  <si>
    <t>Gemeinschaftsfläche</t>
  </si>
  <si>
    <t>Anteil Gemeinschaft in QM</t>
  </si>
  <si>
    <t>Größe Wohnugen</t>
  </si>
  <si>
    <t>Unteres Preissegment</t>
  </si>
  <si>
    <t>zu fördernde Wohnungen</t>
  </si>
  <si>
    <t>Anteil der Wohnungen (variabel?)</t>
  </si>
  <si>
    <t>Differenz</t>
  </si>
  <si>
    <t>(negativer Wert bedeutet, es sind mehr al 20% Eigenmittel vorhanden, positiver Wert bedeutet, weniger als 20%)</t>
  </si>
  <si>
    <t>Höhe Zuschuss:</t>
  </si>
  <si>
    <t>Summe Förderung gesamt</t>
  </si>
  <si>
    <t>Belastung Förderdarlehen</t>
  </si>
  <si>
    <t>abhängig von der erreichten Ernergieklasse &amp; Bindung</t>
  </si>
  <si>
    <t>Höhe Förderkredit:</t>
  </si>
  <si>
    <t xml:space="preserve">Miete gedeckelt auf </t>
  </si>
  <si>
    <t>KFW</t>
  </si>
  <si>
    <t>restlicher Finanzierungsbedarf</t>
  </si>
  <si>
    <t>restliche Wohnungen</t>
  </si>
  <si>
    <t>restliche QM</t>
  </si>
  <si>
    <t>Fremdfinanzierung über KFW</t>
  </si>
  <si>
    <t>Fremdfinanzierung freie Banken Rest</t>
  </si>
  <si>
    <t>Einlagen</t>
  </si>
  <si>
    <t>Nachrangdarlehen u.a.</t>
  </si>
  <si>
    <t>Kredite KFW</t>
  </si>
  <si>
    <t>komunales Darlehen</t>
  </si>
  <si>
    <t>Kommunaler Zuschuss</t>
  </si>
  <si>
    <t>Übersicht Finanzierung der Investition</t>
  </si>
  <si>
    <t>Bankkredit</t>
  </si>
  <si>
    <t>Ein Neubauprojekt</t>
  </si>
  <si>
    <t>falls gekauft, hier eintragen, Erbpacht wird später abgefragt</t>
  </si>
  <si>
    <t>€</t>
  </si>
  <si>
    <t>Herstellungskosten Gebäude</t>
  </si>
  <si>
    <t>Berechnung</t>
  </si>
  <si>
    <t>QM BGF= Gesamtfläche Gebäude</t>
  </si>
  <si>
    <t>erwarteter QM-Preis Herstellung</t>
  </si>
  <si>
    <t>erwartete Wohnfläche (BGF-15%)</t>
  </si>
  <si>
    <t>Summe</t>
  </si>
  <si>
    <t>Festpreis Gebäude</t>
  </si>
  <si>
    <t>Gesamtbaukosten Neubau</t>
  </si>
  <si>
    <t>Grundstücksgröße?</t>
  </si>
  <si>
    <r>
      <t xml:space="preserve">Notariat und Grundbuch </t>
    </r>
    <r>
      <rPr>
        <b/>
        <sz val="8"/>
        <color theme="1"/>
        <rFont val="Open Sans"/>
        <family val="2"/>
      </rPr>
      <t>(geschätzt)</t>
    </r>
  </si>
  <si>
    <t>Gesamtinvestition</t>
  </si>
  <si>
    <t>QM-Wohnfläche in €</t>
  </si>
  <si>
    <t>Mittleres Preissegment</t>
  </si>
  <si>
    <t>(https://www.bab-bremen.de/de/page/programm/neubaukredite-mietwohnungen) Stand 26.02.2026</t>
  </si>
  <si>
    <t>nach Größe</t>
  </si>
  <si>
    <t>Anteil Wohnungen :-) QM</t>
  </si>
  <si>
    <t>max. 100.000€</t>
  </si>
  <si>
    <t>Anzahl</t>
  </si>
  <si>
    <t>max. Kreditsumme</t>
  </si>
  <si>
    <t>max. Kredithöhe</t>
  </si>
  <si>
    <t>KFW 55 ohne QNG-Siegel</t>
  </si>
  <si>
    <t>Stand 26.02.2026</t>
  </si>
  <si>
    <t>mit QNG-Siegel</t>
  </si>
  <si>
    <t>Finanzierungsbedarf</t>
  </si>
  <si>
    <t>Mietspiegel NH-V 26.02.2026</t>
  </si>
  <si>
    <t>WBS, klassisch</t>
  </si>
  <si>
    <t>WBS, mittleres</t>
  </si>
  <si>
    <t>pro m² pm</t>
  </si>
  <si>
    <t>pro m² pa</t>
  </si>
  <si>
    <t>Gesamt sonstige Kosten</t>
  </si>
  <si>
    <t>Zwischensumme</t>
  </si>
  <si>
    <t>Gesamt pm</t>
  </si>
  <si>
    <t>Klimafreundlicher Neubau im Niedrigpreissegment – Wohngebäude</t>
  </si>
  <si>
    <t>ALTERNATIV KFW  296</t>
  </si>
  <si>
    <t>bb</t>
  </si>
  <si>
    <t>Gesamt Durchschnitt</t>
  </si>
  <si>
    <t>Quadratmeterpreis</t>
  </si>
  <si>
    <t>Grundstücksgröße</t>
  </si>
  <si>
    <t>multipliziert mit</t>
  </si>
  <si>
    <t>Festpreis Grundstück/Baugelände</t>
  </si>
  <si>
    <t>Gesamt Kaufpreis Grundstück</t>
  </si>
  <si>
    <t>errechnete Grundstückskosten</t>
  </si>
  <si>
    <t>Bruttogeschossfläche (BGF)</t>
  </si>
  <si>
    <t>gedeckelt auf 5.100€/QM Wohnfläche Herstellungskosten</t>
  </si>
  <si>
    <t>ohne QNG</t>
  </si>
  <si>
    <t>Beispielrechnung</t>
  </si>
  <si>
    <t>Instandhaltungsrücklage (1€/QM) pm</t>
  </si>
  <si>
    <t>Verwaltung (pro Wohnung) BEISPIEL!</t>
  </si>
  <si>
    <t>kommunale Förderung: Neubaukredite für Mietwohnungen</t>
  </si>
  <si>
    <t>Erbbauzins (1%pa/12 Monate)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</si>
</sst>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quot; &quot;%"/>
    <numFmt numFmtId="165" formatCode="0.0%"/>
    <numFmt numFmtId="166" formatCode="_-* #,##0.00\ _€_-;\-* #,##0.00\ _€_-;_-* &quot;-&quot;??\ _€_-;_-@_-"/>
  </numFmts>
  <fonts count="33">
    <font>
      <sz val="10"/>
      <color theme="1"/>
      <name val="Liberation Sans"/>
    </font>
    <font>
      <sz val="11"/>
      <color theme="1"/>
      <name val="Aptos Narrow"/>
      <family val="2"/>
      <scheme val="minor"/>
    </font>
    <font>
      <sz val="11"/>
      <color theme="1"/>
      <name val="Aptos Narrow"/>
      <family val="2"/>
      <scheme val="minor"/>
    </font>
    <font>
      <sz val="11"/>
      <color theme="1"/>
      <name val="Aptos Narrow"/>
      <family val="2"/>
      <scheme val="minor"/>
    </font>
    <font>
      <sz val="10"/>
      <color theme="1"/>
      <name val="Liberation Sans"/>
    </font>
    <font>
      <b/>
      <sz val="10"/>
      <color theme="1"/>
      <name val="Liberation Sans"/>
    </font>
    <font>
      <b/>
      <sz val="10"/>
      <color rgb="FFFFFFFF"/>
      <name val="Liberation Sans"/>
    </font>
    <font>
      <sz val="10"/>
      <color rgb="FFCC0000"/>
      <name val="Liberation Sans"/>
    </font>
    <font>
      <i/>
      <sz val="10"/>
      <color rgb="FF808080"/>
      <name val="Liberation Sans"/>
    </font>
    <font>
      <sz val="10"/>
      <color rgb="FF006600"/>
      <name val="Liberation Sans"/>
    </font>
    <font>
      <b/>
      <sz val="24"/>
      <color rgb="FF000000"/>
      <name val="Liberation Sans"/>
    </font>
    <font>
      <b/>
      <sz val="18"/>
      <color rgb="FF000000"/>
      <name val="Liberation Sans"/>
    </font>
    <font>
      <b/>
      <sz val="12"/>
      <color rgb="FF000000"/>
      <name val="Liberation Sans"/>
    </font>
    <font>
      <u/>
      <sz val="10"/>
      <color rgb="FF0000EE"/>
      <name val="Liberation Sans"/>
    </font>
    <font>
      <sz val="10"/>
      <color rgb="FF996600"/>
      <name val="Liberation Sans"/>
    </font>
    <font>
      <sz val="10"/>
      <color rgb="FF333333"/>
      <name val="Liberation Sans"/>
    </font>
    <font>
      <b/>
      <i/>
      <u/>
      <sz val="10"/>
      <color theme="1"/>
      <name val="Liberation Sans"/>
    </font>
    <font>
      <b/>
      <sz val="12"/>
      <color theme="1"/>
      <name val="Open Sans"/>
      <family val="2"/>
    </font>
    <font>
      <sz val="12"/>
      <color theme="1"/>
      <name val="Open Sans"/>
      <family val="2"/>
    </font>
    <font>
      <b/>
      <sz val="12"/>
      <color rgb="FFFF0000"/>
      <name val="Open Sans"/>
      <family val="2"/>
    </font>
    <font>
      <b/>
      <sz val="8"/>
      <color theme="1"/>
      <name val="Open Sans"/>
      <family val="2"/>
    </font>
    <font>
      <sz val="20"/>
      <color theme="1"/>
      <name val="Open Sans"/>
      <family val="2"/>
    </font>
    <font>
      <b/>
      <sz val="20"/>
      <color theme="1"/>
      <name val="Open Sans"/>
      <family val="2"/>
    </font>
    <font>
      <sz val="12"/>
      <color rgb="FFFF0000"/>
      <name val="Open Sans"/>
      <family val="2"/>
    </font>
    <font>
      <b/>
      <sz val="14"/>
      <color theme="1"/>
      <name val="Open Sans"/>
      <family val="2"/>
    </font>
    <font>
      <sz val="9"/>
      <color theme="1"/>
      <name val="Open Sans"/>
      <family val="2"/>
    </font>
    <font>
      <sz val="8"/>
      <color theme="1"/>
      <name val="Open Sans"/>
      <family val="2"/>
    </font>
    <font>
      <sz val="10"/>
      <color theme="1"/>
      <name val="Open Sans"/>
      <family val="2"/>
    </font>
    <font>
      <sz val="12"/>
      <color rgb="FF1E1E1E"/>
      <name val="Segoe UI"/>
      <family val="2"/>
    </font>
    <font>
      <sz val="27"/>
      <color rgb="FF2D3134"/>
      <name val="Arial"/>
      <family val="2"/>
    </font>
    <font>
      <sz val="12"/>
      <color theme="1"/>
      <name val="Liberation Sans"/>
    </font>
    <font>
      <b/>
      <sz val="12"/>
      <color rgb="FFFF0000"/>
      <name val="Liberation Sans"/>
    </font>
    <font>
      <b/>
      <sz val="12"/>
      <color theme="1"/>
      <name val="Liberation Sans"/>
    </font>
  </fonts>
  <fills count="28">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rgb="FFFFE99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79998168889431442"/>
        <bgColor rgb="FFFFE994"/>
      </patternFill>
    </fill>
    <fill>
      <patternFill patternType="solid">
        <fgColor theme="3" tint="0.89999084444715716"/>
        <bgColor indexed="64"/>
      </patternFill>
    </fill>
    <fill>
      <patternFill patternType="solid">
        <fgColor theme="3" tint="0.89999084444715716"/>
        <bgColor rgb="FFFFE994"/>
      </patternFill>
    </fill>
    <fill>
      <patternFill patternType="solid">
        <fgColor theme="0"/>
        <bgColor indexed="64"/>
      </patternFill>
    </fill>
    <fill>
      <patternFill patternType="solid">
        <fgColor theme="0" tint="-0.14999847407452621"/>
        <bgColor rgb="FFDDDDDD"/>
      </patternFill>
    </fill>
    <fill>
      <patternFill patternType="solid">
        <fgColor theme="3" tint="0.749992370372631"/>
        <bgColor indexed="64"/>
      </patternFill>
    </fill>
    <fill>
      <patternFill patternType="solid">
        <fgColor theme="3" tint="0.749992370372631"/>
        <bgColor rgb="FFFFE994"/>
      </patternFill>
    </fill>
    <fill>
      <patternFill patternType="solid">
        <fgColor theme="8" tint="0.79998168889431442"/>
        <bgColor indexed="64"/>
      </patternFill>
    </fill>
    <fill>
      <patternFill patternType="solid">
        <fgColor theme="8" tint="0.79998168889431442"/>
        <bgColor rgb="FFFFE994"/>
      </patternFill>
    </fill>
    <fill>
      <patternFill patternType="solid">
        <fgColor theme="5" tint="0.79998168889431442"/>
        <bgColor rgb="FFFFE994"/>
      </patternFill>
    </fill>
    <fill>
      <patternFill patternType="solid">
        <fgColor theme="5" tint="0.59999389629810485"/>
        <bgColor rgb="FFFFE994"/>
      </patternFill>
    </fill>
    <fill>
      <patternFill patternType="solid">
        <fgColor theme="5" tint="0.59999389629810485"/>
        <bgColor indexed="64"/>
      </patternFill>
    </fill>
    <fill>
      <patternFill patternType="solid">
        <fgColor theme="5" tint="0.39997558519241921"/>
        <bgColor rgb="FFFFE99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0.14999847407452621"/>
        <bgColor rgb="FFFFE994"/>
      </patternFill>
    </fill>
  </fills>
  <borders count="8">
    <border>
      <left/>
      <right/>
      <top/>
      <bottom/>
      <diagonal/>
    </border>
    <border>
      <left style="thin">
        <color rgb="FF808080"/>
      </left>
      <right style="thin">
        <color rgb="FF808080"/>
      </right>
      <top style="thin">
        <color rgb="FF808080"/>
      </top>
      <bottom style="thin">
        <color rgb="FF808080"/>
      </bottom>
      <diagonal/>
    </border>
    <border>
      <left/>
      <right/>
      <top style="thin">
        <color rgb="FFFF0000"/>
      </top>
      <bottom style="thin">
        <color rgb="FFFF0000"/>
      </bottom>
      <diagonal/>
    </border>
    <border>
      <left/>
      <right/>
      <top style="thin">
        <color rgb="FFFF0000"/>
      </top>
      <bottom style="double">
        <color rgb="FFFF0000"/>
      </bottom>
      <diagonal/>
    </border>
    <border>
      <left/>
      <right/>
      <top/>
      <bottom style="thin">
        <color rgb="FFFF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4">
    <xf numFmtId="0" fontId="0" fillId="0" borderId="0"/>
    <xf numFmtId="44" fontId="3" fillId="0" borderId="0" applyFont="0" applyFill="0" applyBorder="0" applyAlignment="0" applyProtection="0"/>
    <xf numFmtId="0" fontId="14" fillId="8" borderId="0" applyNumberFormat="0" applyBorder="0" applyProtection="0"/>
    <xf numFmtId="0" fontId="5" fillId="0" borderId="0" applyNumberFormat="0" applyFill="0" applyBorder="0" applyProtection="0"/>
    <xf numFmtId="0" fontId="6" fillId="2" borderId="0" applyNumberFormat="0" applyBorder="0" applyProtection="0"/>
    <xf numFmtId="0" fontId="6" fillId="3" borderId="0" applyNumberFormat="0" applyBorder="0" applyProtection="0"/>
    <xf numFmtId="0" fontId="5" fillId="4" borderId="0" applyNumberFormat="0" applyBorder="0" applyProtection="0"/>
    <xf numFmtId="0" fontId="7" fillId="5" borderId="0" applyNumberFormat="0" applyBorder="0" applyProtection="0"/>
    <xf numFmtId="0" fontId="4" fillId="0" borderId="0" applyNumberFormat="0" applyFont="0" applyFill="0" applyBorder="0" applyAlignment="0" applyProtection="0"/>
    <xf numFmtId="0" fontId="6" fillId="6" borderId="0" applyNumberFormat="0" applyBorder="0" applyProtection="0"/>
    <xf numFmtId="0" fontId="8" fillId="0" borderId="0" applyNumberFormat="0" applyFill="0" applyBorder="0" applyProtection="0"/>
    <xf numFmtId="0" fontId="9" fillId="7" borderId="0" applyNumberFormat="0" applyBorder="0" applyProtection="0"/>
    <xf numFmtId="0" fontId="10" fillId="0" borderId="0" applyNumberFormat="0" applyFill="0" applyBorder="0" applyProtection="0"/>
    <xf numFmtId="0" fontId="11" fillId="0" borderId="0" applyNumberFormat="0" applyFill="0" applyBorder="0" applyProtection="0"/>
    <xf numFmtId="0" fontId="12" fillId="0" borderId="0" applyNumberFormat="0" applyFill="0" applyBorder="0" applyProtection="0"/>
    <xf numFmtId="0" fontId="13" fillId="0" borderId="0" applyNumberFormat="0" applyFill="0" applyBorder="0" applyProtection="0"/>
    <xf numFmtId="0" fontId="15" fillId="8" borderId="1" applyNumberFormat="0" applyProtection="0"/>
    <xf numFmtId="0" fontId="16" fillId="0" borderId="0" applyNumberFormat="0" applyFill="0" applyBorder="0" applyProtection="0"/>
    <xf numFmtId="0" fontId="4" fillId="0" borderId="0" applyNumberFormat="0" applyFont="0" applyFill="0" applyBorder="0" applyProtection="0"/>
    <xf numFmtId="0" fontId="4" fillId="0" borderId="0" applyNumberFormat="0" applyFont="0" applyFill="0" applyBorder="0" applyProtection="0"/>
    <xf numFmtId="0" fontId="7" fillId="0" borderId="0" applyNumberFormat="0" applyFill="0" applyBorder="0" applyProtection="0"/>
    <xf numFmtId="9" fontId="4"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cellStyleXfs>
  <cellXfs count="198">
    <xf numFmtId="0" fontId="0" fillId="0" borderId="0" xfId="0"/>
    <xf numFmtId="0" fontId="4" fillId="0" borderId="0" xfId="8"/>
    <xf numFmtId="0" fontId="5" fillId="0" borderId="0" xfId="8" applyFont="1"/>
    <xf numFmtId="4" fontId="0" fillId="0" borderId="0" xfId="8" applyNumberFormat="1" applyFont="1"/>
    <xf numFmtId="0" fontId="0" fillId="0" borderId="0" xfId="8" applyFont="1" applyAlignment="1">
      <alignment horizontal="left"/>
    </xf>
    <xf numFmtId="0" fontId="18" fillId="0" borderId="0" xfId="8" applyFont="1"/>
    <xf numFmtId="0" fontId="17" fillId="0" borderId="0" xfId="8" applyFont="1"/>
    <xf numFmtId="0" fontId="18" fillId="0" borderId="0" xfId="8" applyFont="1" applyAlignment="1">
      <alignment horizontal="left"/>
    </xf>
    <xf numFmtId="4" fontId="18" fillId="0" borderId="0" xfId="8" applyNumberFormat="1" applyFont="1"/>
    <xf numFmtId="0" fontId="18" fillId="0" borderId="0" xfId="0" applyFont="1"/>
    <xf numFmtId="44" fontId="18" fillId="0" borderId="0" xfId="1" applyFont="1"/>
    <xf numFmtId="0" fontId="18" fillId="10" borderId="0" xfId="8" applyFont="1" applyFill="1"/>
    <xf numFmtId="44" fontId="18" fillId="10" borderId="0" xfId="1" applyFont="1" applyFill="1"/>
    <xf numFmtId="164" fontId="18" fillId="9" borderId="0" xfId="8" applyNumberFormat="1" applyFont="1" applyFill="1"/>
    <xf numFmtId="0" fontId="17" fillId="13" borderId="0" xfId="8" applyFont="1" applyFill="1"/>
    <xf numFmtId="164" fontId="18" fillId="14" borderId="0" xfId="8" applyNumberFormat="1" applyFont="1" applyFill="1"/>
    <xf numFmtId="44" fontId="18" fillId="13" borderId="0" xfId="1" applyFont="1" applyFill="1"/>
    <xf numFmtId="9" fontId="18" fillId="13" borderId="0" xfId="21" applyFont="1" applyFill="1"/>
    <xf numFmtId="1" fontId="18" fillId="0" borderId="0" xfId="1" applyNumberFormat="1" applyFont="1"/>
    <xf numFmtId="0" fontId="0" fillId="0" borderId="0" xfId="0" applyAlignment="1">
      <alignment horizontal="right"/>
    </xf>
    <xf numFmtId="44" fontId="0" fillId="0" borderId="0" xfId="0" applyNumberFormat="1"/>
    <xf numFmtId="0" fontId="17" fillId="0" borderId="0" xfId="0" applyFont="1"/>
    <xf numFmtId="44" fontId="18" fillId="0" borderId="0" xfId="0" applyNumberFormat="1" applyFont="1"/>
    <xf numFmtId="1" fontId="0" fillId="0" borderId="0" xfId="0" applyNumberFormat="1"/>
    <xf numFmtId="44" fontId="0" fillId="0" borderId="0" xfId="1" applyFont="1"/>
    <xf numFmtId="10" fontId="18" fillId="0" borderId="0" xfId="21" applyNumberFormat="1" applyFont="1"/>
    <xf numFmtId="44" fontId="0" fillId="0" borderId="0" xfId="22" applyFont="1"/>
    <xf numFmtId="44" fontId="5" fillId="0" borderId="0" xfId="22" applyFont="1"/>
    <xf numFmtId="44" fontId="4" fillId="0" borderId="0" xfId="22" applyFont="1"/>
    <xf numFmtId="0" fontId="5" fillId="0" borderId="0" xfId="0" applyFont="1"/>
    <xf numFmtId="2" fontId="0" fillId="0" borderId="0" xfId="0" applyNumberFormat="1"/>
    <xf numFmtId="0" fontId="0" fillId="0" borderId="0" xfId="0" applyAlignment="1">
      <alignment wrapText="1"/>
    </xf>
    <xf numFmtId="9" fontId="26" fillId="15" borderId="0" xfId="21" applyFont="1" applyFill="1"/>
    <xf numFmtId="1" fontId="18" fillId="0" borderId="0" xfId="0" applyNumberFormat="1" applyFont="1"/>
    <xf numFmtId="0" fontId="17" fillId="19" borderId="0" xfId="8" applyFont="1" applyFill="1"/>
    <xf numFmtId="0" fontId="18" fillId="19" borderId="0" xfId="8" applyFont="1" applyFill="1"/>
    <xf numFmtId="0" fontId="27" fillId="19" borderId="0" xfId="8" applyFont="1" applyFill="1"/>
    <xf numFmtId="44" fontId="18" fillId="19" borderId="0" xfId="1" applyFont="1" applyFill="1"/>
    <xf numFmtId="164" fontId="18" fillId="20" borderId="0" xfId="8" applyNumberFormat="1" applyFont="1" applyFill="1"/>
    <xf numFmtId="44" fontId="17" fillId="19" borderId="2" xfId="1" applyFont="1" applyFill="1" applyBorder="1"/>
    <xf numFmtId="164" fontId="24" fillId="21" borderId="0" xfId="8" applyNumberFormat="1" applyFont="1" applyFill="1"/>
    <xf numFmtId="164" fontId="20" fillId="21" borderId="0" xfId="8" applyNumberFormat="1" applyFont="1" applyFill="1"/>
    <xf numFmtId="164" fontId="17" fillId="22" borderId="0" xfId="8" applyNumberFormat="1" applyFont="1" applyFill="1"/>
    <xf numFmtId="0" fontId="18" fillId="23" borderId="0" xfId="8" applyFont="1" applyFill="1"/>
    <xf numFmtId="44" fontId="18" fillId="23" borderId="0" xfId="1" applyFont="1" applyFill="1"/>
    <xf numFmtId="0" fontId="25" fillId="23" borderId="0" xfId="8" applyFont="1" applyFill="1"/>
    <xf numFmtId="9" fontId="18" fillId="23" borderId="0" xfId="21" applyFont="1" applyFill="1"/>
    <xf numFmtId="2" fontId="18" fillId="23" borderId="0" xfId="1" applyNumberFormat="1" applyFont="1" applyFill="1"/>
    <xf numFmtId="164" fontId="18" fillId="22" borderId="0" xfId="8" applyNumberFormat="1" applyFont="1" applyFill="1"/>
    <xf numFmtId="0" fontId="18" fillId="23" borderId="0" xfId="0" applyFont="1" applyFill="1"/>
    <xf numFmtId="1" fontId="18" fillId="23" borderId="0" xfId="1" applyNumberFormat="1" applyFont="1" applyFill="1"/>
    <xf numFmtId="44" fontId="17" fillId="23" borderId="0" xfId="1" applyFont="1" applyFill="1" applyBorder="1"/>
    <xf numFmtId="0" fontId="17" fillId="23" borderId="0" xfId="0" applyFont="1" applyFill="1"/>
    <xf numFmtId="0" fontId="17" fillId="23" borderId="0" xfId="8" applyFont="1" applyFill="1"/>
    <xf numFmtId="10" fontId="18" fillId="23" borderId="0" xfId="21" applyNumberFormat="1" applyFont="1" applyFill="1"/>
    <xf numFmtId="164" fontId="17" fillId="24" borderId="0" xfId="8" applyNumberFormat="1" applyFont="1" applyFill="1"/>
    <xf numFmtId="0" fontId="18" fillId="25" borderId="0" xfId="8" applyFont="1" applyFill="1"/>
    <xf numFmtId="44" fontId="18" fillId="25" borderId="0" xfId="1" applyFont="1" applyFill="1"/>
    <xf numFmtId="0" fontId="25" fillId="25" borderId="0" xfId="8" applyFont="1" applyFill="1"/>
    <xf numFmtId="9" fontId="18" fillId="25" borderId="0" xfId="21" applyFont="1" applyFill="1"/>
    <xf numFmtId="2" fontId="18" fillId="25" borderId="0" xfId="1" applyNumberFormat="1" applyFont="1" applyFill="1"/>
    <xf numFmtId="164" fontId="18" fillId="24" borderId="0" xfId="8" applyNumberFormat="1" applyFont="1" applyFill="1"/>
    <xf numFmtId="0" fontId="18" fillId="25" borderId="0" xfId="0" applyFont="1" applyFill="1"/>
    <xf numFmtId="1" fontId="18" fillId="25" borderId="0" xfId="1" applyNumberFormat="1" applyFont="1" applyFill="1"/>
    <xf numFmtId="44" fontId="17" fillId="25" borderId="0" xfId="1" applyFont="1" applyFill="1" applyBorder="1"/>
    <xf numFmtId="0" fontId="18" fillId="25" borderId="0" xfId="8" applyFont="1" applyFill="1" applyAlignment="1">
      <alignment wrapText="1"/>
    </xf>
    <xf numFmtId="0" fontId="17" fillId="25" borderId="0" xfId="8" applyFont="1" applyFill="1"/>
    <xf numFmtId="10" fontId="18" fillId="25" borderId="0" xfId="21" applyNumberFormat="1" applyFont="1" applyFill="1"/>
    <xf numFmtId="0" fontId="28" fillId="0" borderId="0" xfId="0" applyFont="1"/>
    <xf numFmtId="0" fontId="28" fillId="25" borderId="0" xfId="0" applyFont="1" applyFill="1"/>
    <xf numFmtId="44" fontId="0" fillId="25" borderId="0" xfId="1" applyFont="1" applyFill="1"/>
    <xf numFmtId="0" fontId="28" fillId="23" borderId="0" xfId="0" applyFont="1" applyFill="1"/>
    <xf numFmtId="44" fontId="0" fillId="23" borderId="0" xfId="1" applyFont="1" applyFill="1"/>
    <xf numFmtId="44" fontId="17" fillId="13" borderId="0" xfId="1" applyFont="1" applyFill="1"/>
    <xf numFmtId="0" fontId="22" fillId="4" borderId="0" xfId="8" applyFont="1" applyFill="1" applyProtection="1">
      <protection locked="0"/>
    </xf>
    <xf numFmtId="0" fontId="21" fillId="4" borderId="0" xfId="8" applyFont="1" applyFill="1" applyProtection="1">
      <protection locked="0"/>
    </xf>
    <xf numFmtId="44" fontId="21" fillId="4" borderId="0" xfId="23" applyFont="1" applyFill="1" applyProtection="1">
      <protection locked="0"/>
    </xf>
    <xf numFmtId="0" fontId="21" fillId="0" borderId="0" xfId="8" applyFont="1" applyProtection="1">
      <protection locked="0"/>
    </xf>
    <xf numFmtId="0" fontId="22" fillId="0" borderId="0" xfId="8" applyFont="1" applyProtection="1">
      <protection locked="0"/>
    </xf>
    <xf numFmtId="0" fontId="21" fillId="0" borderId="0" xfId="8" applyFont="1" applyAlignment="1" applyProtection="1">
      <alignment horizontal="left"/>
      <protection locked="0"/>
    </xf>
    <xf numFmtId="4" fontId="21" fillId="0" borderId="0" xfId="8" applyNumberFormat="1" applyFont="1" applyProtection="1">
      <protection locked="0"/>
    </xf>
    <xf numFmtId="0" fontId="21" fillId="0" borderId="0" xfId="0" applyFont="1" applyProtection="1">
      <protection locked="0"/>
    </xf>
    <xf numFmtId="0" fontId="17" fillId="4" borderId="0" xfId="8" applyFont="1" applyFill="1" applyProtection="1">
      <protection locked="0"/>
    </xf>
    <xf numFmtId="0" fontId="18" fillId="16" borderId="0" xfId="8" applyFont="1" applyFill="1" applyProtection="1">
      <protection locked="0"/>
    </xf>
    <xf numFmtId="44" fontId="18" fillId="16" borderId="0" xfId="23" applyFont="1" applyFill="1" applyProtection="1">
      <protection locked="0"/>
    </xf>
    <xf numFmtId="0" fontId="18" fillId="0" borderId="0" xfId="8" applyFont="1" applyProtection="1">
      <protection locked="0"/>
    </xf>
    <xf numFmtId="0" fontId="17" fillId="0" borderId="0" xfId="8" applyFont="1" applyProtection="1">
      <protection locked="0"/>
    </xf>
    <xf numFmtId="0" fontId="18" fillId="0" borderId="0" xfId="8" applyFont="1" applyAlignment="1" applyProtection="1">
      <alignment horizontal="left"/>
      <protection locked="0"/>
    </xf>
    <xf numFmtId="4" fontId="18" fillId="0" borderId="0" xfId="8" applyNumberFormat="1" applyFont="1" applyProtection="1">
      <protection locked="0"/>
    </xf>
    <xf numFmtId="0" fontId="18" fillId="0" borderId="0" xfId="0" applyFont="1" applyProtection="1">
      <protection locked="0"/>
    </xf>
    <xf numFmtId="0" fontId="17" fillId="17" borderId="0" xfId="8" applyFont="1" applyFill="1" applyProtection="1">
      <protection locked="0"/>
    </xf>
    <xf numFmtId="0" fontId="26" fillId="17" borderId="0" xfId="8" applyFont="1" applyFill="1" applyAlignment="1" applyProtection="1">
      <alignment wrapText="1"/>
      <protection locked="0"/>
    </xf>
    <xf numFmtId="166" fontId="18" fillId="18" borderId="0" xfId="23" applyNumberFormat="1" applyFont="1" applyFill="1" applyProtection="1">
      <protection locked="0"/>
    </xf>
    <xf numFmtId="0" fontId="18" fillId="17" borderId="0" xfId="8" applyFont="1" applyFill="1" applyProtection="1">
      <protection locked="0"/>
    </xf>
    <xf numFmtId="44" fontId="18" fillId="18" borderId="0" xfId="23" applyFont="1" applyFill="1" applyProtection="1">
      <protection locked="0"/>
    </xf>
    <xf numFmtId="1" fontId="18" fillId="18" borderId="0" xfId="23" applyNumberFormat="1" applyFont="1" applyFill="1" applyProtection="1">
      <protection locked="0"/>
    </xf>
    <xf numFmtId="166" fontId="18" fillId="17" borderId="0" xfId="23" applyNumberFormat="1" applyFont="1" applyFill="1" applyProtection="1">
      <protection locked="0"/>
    </xf>
    <xf numFmtId="1" fontId="18" fillId="17" borderId="0" xfId="23" applyNumberFormat="1" applyFont="1" applyFill="1" applyProtection="1">
      <protection locked="0"/>
    </xf>
    <xf numFmtId="0" fontId="19" fillId="17" borderId="0" xfId="8" applyFont="1" applyFill="1" applyAlignment="1" applyProtection="1">
      <alignment horizontal="left"/>
      <protection locked="0"/>
    </xf>
    <xf numFmtId="44" fontId="18" fillId="17" borderId="0" xfId="23" applyFont="1" applyFill="1" applyProtection="1">
      <protection locked="0"/>
    </xf>
    <xf numFmtId="0" fontId="19" fillId="0" borderId="0" xfId="0" applyFont="1" applyProtection="1">
      <protection locked="0"/>
    </xf>
    <xf numFmtId="44" fontId="18" fillId="0" borderId="0" xfId="23" applyFont="1" applyProtection="1">
      <protection locked="0"/>
    </xf>
    <xf numFmtId="0" fontId="17" fillId="11" borderId="0" xfId="8" applyFont="1" applyFill="1" applyProtection="1">
      <protection locked="0"/>
    </xf>
    <xf numFmtId="165" fontId="18" fillId="12" borderId="0" xfId="21" applyNumberFormat="1" applyFont="1" applyFill="1" applyProtection="1">
      <protection locked="0"/>
    </xf>
    <xf numFmtId="44" fontId="18" fillId="11" borderId="0" xfId="23" applyFont="1" applyFill="1" applyProtection="1">
      <protection locked="0"/>
    </xf>
    <xf numFmtId="165" fontId="18" fillId="11" borderId="0" xfId="21" applyNumberFormat="1" applyFont="1" applyFill="1" applyProtection="1">
      <protection locked="0"/>
    </xf>
    <xf numFmtId="0" fontId="19" fillId="11" borderId="0" xfId="8" applyFont="1" applyFill="1" applyAlignment="1" applyProtection="1">
      <alignment horizontal="left"/>
      <protection locked="0"/>
    </xf>
    <xf numFmtId="0" fontId="18" fillId="11" borderId="0" xfId="0" applyFont="1" applyFill="1" applyProtection="1">
      <protection locked="0"/>
    </xf>
    <xf numFmtId="0" fontId="18" fillId="11" borderId="0" xfId="8" applyFont="1" applyFill="1" applyProtection="1">
      <protection locked="0"/>
    </xf>
    <xf numFmtId="0" fontId="29" fillId="0" borderId="0" xfId="0" applyFont="1"/>
    <xf numFmtId="0" fontId="23" fillId="0" borderId="0" xfId="0" applyFont="1"/>
    <xf numFmtId="0" fontId="17" fillId="26" borderId="0" xfId="8" applyFont="1" applyFill="1" applyProtection="1">
      <protection locked="0"/>
    </xf>
    <xf numFmtId="0" fontId="18" fillId="26" borderId="0" xfId="8" applyFont="1" applyFill="1" applyProtection="1">
      <protection locked="0"/>
    </xf>
    <xf numFmtId="44" fontId="18" fillId="26" borderId="0" xfId="23" applyFont="1" applyFill="1" applyProtection="1">
      <protection locked="0"/>
    </xf>
    <xf numFmtId="0" fontId="17" fillId="26" borderId="4" xfId="8" applyFont="1" applyFill="1" applyBorder="1" applyProtection="1">
      <protection locked="0"/>
    </xf>
    <xf numFmtId="164" fontId="18" fillId="26" borderId="4" xfId="8" applyNumberFormat="1" applyFont="1" applyFill="1" applyBorder="1" applyProtection="1">
      <protection locked="0"/>
    </xf>
    <xf numFmtId="44" fontId="18" fillId="26" borderId="4" xfId="23" applyFont="1" applyFill="1" applyBorder="1" applyProtection="1">
      <protection locked="0"/>
    </xf>
    <xf numFmtId="0" fontId="17" fillId="26" borderId="3" xfId="8" applyFont="1" applyFill="1" applyBorder="1" applyProtection="1">
      <protection locked="0"/>
    </xf>
    <xf numFmtId="0" fontId="18" fillId="26" borderId="3" xfId="8" applyFont="1" applyFill="1" applyBorder="1" applyProtection="1">
      <protection locked="0"/>
    </xf>
    <xf numFmtId="44" fontId="17" fillId="26" borderId="3" xfId="23" applyFont="1" applyFill="1" applyBorder="1" applyProtection="1">
      <protection locked="0"/>
    </xf>
    <xf numFmtId="0" fontId="0" fillId="26" borderId="0" xfId="0" applyFill="1"/>
    <xf numFmtId="1" fontId="0" fillId="26" borderId="0" xfId="0" applyNumberFormat="1" applyFill="1"/>
    <xf numFmtId="164" fontId="18" fillId="27" borderId="0" xfId="8" applyNumberFormat="1" applyFont="1" applyFill="1"/>
    <xf numFmtId="9" fontId="18" fillId="26" borderId="0" xfId="21" applyFont="1" applyFill="1"/>
    <xf numFmtId="44" fontId="18" fillId="26" borderId="0" xfId="1" applyFont="1" applyFill="1"/>
    <xf numFmtId="164" fontId="17" fillId="27" borderId="0" xfId="8" applyNumberFormat="1" applyFont="1" applyFill="1"/>
    <xf numFmtId="9" fontId="17" fillId="26" borderId="0" xfId="21" applyFont="1" applyFill="1"/>
    <xf numFmtId="44" fontId="17" fillId="26" borderId="0" xfId="1" applyFont="1" applyFill="1"/>
    <xf numFmtId="44" fontId="17" fillId="26" borderId="2" xfId="1" applyFont="1" applyFill="1" applyBorder="1"/>
    <xf numFmtId="0" fontId="18" fillId="26" borderId="0" xfId="0" applyFont="1" applyFill="1"/>
    <xf numFmtId="9" fontId="26" fillId="26" borderId="0" xfId="21" applyFont="1" applyFill="1"/>
    <xf numFmtId="44" fontId="19" fillId="26" borderId="0" xfId="1" applyFont="1" applyFill="1" applyAlignment="1">
      <alignment horizontal="center"/>
    </xf>
    <xf numFmtId="0" fontId="18" fillId="26" borderId="0" xfId="8" applyFont="1" applyFill="1"/>
    <xf numFmtId="0" fontId="18" fillId="26" borderId="0" xfId="8" applyFont="1" applyFill="1" applyAlignment="1">
      <alignment wrapText="1"/>
    </xf>
    <xf numFmtId="0" fontId="26" fillId="26" borderId="0" xfId="8" applyFont="1" applyFill="1" applyAlignment="1">
      <alignment wrapText="1"/>
    </xf>
    <xf numFmtId="0" fontId="17" fillId="26" borderId="0" xfId="8" applyFont="1" applyFill="1"/>
    <xf numFmtId="44" fontId="23" fillId="26" borderId="0" xfId="1" applyFont="1" applyFill="1"/>
    <xf numFmtId="44" fontId="0" fillId="26" borderId="0" xfId="0" applyNumberFormat="1" applyFill="1"/>
    <xf numFmtId="0" fontId="0" fillId="16" borderId="0" xfId="8" applyFont="1" applyFill="1"/>
    <xf numFmtId="0" fontId="4" fillId="26" borderId="0" xfId="8" applyFill="1"/>
    <xf numFmtId="0" fontId="5" fillId="26" borderId="0" xfId="8" applyFont="1" applyFill="1"/>
    <xf numFmtId="4" fontId="5" fillId="26" borderId="0" xfId="8" applyNumberFormat="1" applyFont="1" applyFill="1"/>
    <xf numFmtId="4" fontId="0" fillId="26" borderId="0" xfId="8" applyNumberFormat="1" applyFont="1" applyFill="1"/>
    <xf numFmtId="44" fontId="17" fillId="26" borderId="0" xfId="0" applyNumberFormat="1" applyFont="1" applyFill="1"/>
    <xf numFmtId="0" fontId="5" fillId="16" borderId="0" xfId="8" applyFont="1" applyFill="1" applyAlignment="1">
      <alignment horizontal="left"/>
    </xf>
    <xf numFmtId="44" fontId="0" fillId="16" borderId="0" xfId="1" applyFont="1" applyFill="1"/>
    <xf numFmtId="4" fontId="0" fillId="16" borderId="0" xfId="8" applyNumberFormat="1" applyFont="1" applyFill="1"/>
    <xf numFmtId="0" fontId="5" fillId="26" borderId="0" xfId="8" applyFont="1" applyFill="1" applyAlignment="1">
      <alignment horizontal="left"/>
    </xf>
    <xf numFmtId="44" fontId="0" fillId="26" borderId="0" xfId="1" applyFont="1" applyFill="1"/>
    <xf numFmtId="44" fontId="5" fillId="26" borderId="0" xfId="1" applyFont="1" applyFill="1"/>
    <xf numFmtId="0" fontId="0" fillId="26" borderId="0" xfId="8" applyFont="1" applyFill="1" applyAlignment="1">
      <alignment horizontal="left"/>
    </xf>
    <xf numFmtId="44" fontId="18" fillId="26" borderId="0" xfId="0" applyNumberFormat="1" applyFont="1" applyFill="1"/>
    <xf numFmtId="0" fontId="30" fillId="26" borderId="0" xfId="0" applyFont="1" applyFill="1"/>
    <xf numFmtId="1" fontId="30" fillId="26" borderId="0" xfId="0" applyNumberFormat="1" applyFont="1" applyFill="1"/>
    <xf numFmtId="44" fontId="30" fillId="26" borderId="0" xfId="1" applyFont="1" applyFill="1"/>
    <xf numFmtId="44" fontId="30" fillId="26" borderId="0" xfId="0" applyNumberFormat="1" applyFont="1" applyFill="1"/>
    <xf numFmtId="44" fontId="30" fillId="26" borderId="3" xfId="0" applyNumberFormat="1" applyFont="1" applyFill="1" applyBorder="1"/>
    <xf numFmtId="0" fontId="31" fillId="26" borderId="0" xfId="0" applyFont="1" applyFill="1"/>
    <xf numFmtId="0" fontId="5" fillId="16" borderId="0" xfId="8" applyFont="1" applyFill="1"/>
    <xf numFmtId="44" fontId="5" fillId="16" borderId="0" xfId="22" applyFont="1" applyFill="1"/>
    <xf numFmtId="44" fontId="0" fillId="16" borderId="0" xfId="22" applyFont="1" applyFill="1"/>
    <xf numFmtId="44" fontId="5" fillId="26" borderId="0" xfId="22" applyFont="1" applyFill="1"/>
    <xf numFmtId="9" fontId="5" fillId="26" borderId="0" xfId="21" applyFont="1" applyFill="1"/>
    <xf numFmtId="44" fontId="0" fillId="26" borderId="0" xfId="22" applyFont="1" applyFill="1"/>
    <xf numFmtId="44" fontId="4" fillId="26" borderId="0" xfId="1" applyFont="1" applyFill="1"/>
    <xf numFmtId="44" fontId="4" fillId="26" borderId="0" xfId="22" applyFont="1" applyFill="1"/>
    <xf numFmtId="44" fontId="4" fillId="26" borderId="4" xfId="22" applyFont="1" applyFill="1" applyBorder="1"/>
    <xf numFmtId="44" fontId="0" fillId="26" borderId="4" xfId="1" applyFont="1" applyFill="1" applyBorder="1"/>
    <xf numFmtId="44" fontId="5" fillId="26" borderId="3" xfId="22" applyFont="1" applyFill="1" applyBorder="1"/>
    <xf numFmtId="44" fontId="5" fillId="26" borderId="3" xfId="1" applyFont="1" applyFill="1" applyBorder="1"/>
    <xf numFmtId="0" fontId="32" fillId="26" borderId="0" xfId="0" applyFont="1" applyFill="1"/>
    <xf numFmtId="0" fontId="30" fillId="26" borderId="5" xfId="0" applyFont="1" applyFill="1" applyBorder="1"/>
    <xf numFmtId="0" fontId="30" fillId="26" borderId="5" xfId="0" applyFont="1" applyFill="1" applyBorder="1" applyAlignment="1">
      <alignment horizontal="right"/>
    </xf>
    <xf numFmtId="1" fontId="30" fillId="26" borderId="5" xfId="0" applyNumberFormat="1" applyFont="1" applyFill="1" applyBorder="1"/>
    <xf numFmtId="44" fontId="30" fillId="26" borderId="5" xfId="22" applyFont="1" applyFill="1" applyBorder="1"/>
    <xf numFmtId="44" fontId="30" fillId="26" borderId="5" xfId="0" applyNumberFormat="1" applyFont="1" applyFill="1" applyBorder="1"/>
    <xf numFmtId="44" fontId="30" fillId="26" borderId="5" xfId="1" applyFont="1" applyFill="1" applyBorder="1"/>
    <xf numFmtId="44" fontId="32" fillId="26" borderId="5" xfId="22" applyFont="1" applyFill="1" applyBorder="1"/>
    <xf numFmtId="0" fontId="0" fillId="26" borderId="5" xfId="0" applyFill="1" applyBorder="1"/>
    <xf numFmtId="44" fontId="18" fillId="18" borderId="0" xfId="1" applyFont="1" applyFill="1" applyProtection="1">
      <protection locked="0"/>
    </xf>
    <xf numFmtId="1" fontId="18" fillId="18" borderId="0" xfId="1" applyNumberFormat="1" applyFont="1" applyFill="1" applyProtection="1">
      <protection locked="0"/>
    </xf>
    <xf numFmtId="0" fontId="17" fillId="17" borderId="6" xfId="8" applyFont="1" applyFill="1" applyBorder="1" applyProtection="1">
      <protection locked="0"/>
    </xf>
    <xf numFmtId="0" fontId="26" fillId="17" borderId="6" xfId="8" applyFont="1" applyFill="1" applyBorder="1" applyAlignment="1" applyProtection="1">
      <alignment wrapText="1"/>
      <protection locked="0"/>
    </xf>
    <xf numFmtId="44" fontId="18" fillId="18" borderId="6" xfId="1" applyFont="1" applyFill="1" applyBorder="1" applyProtection="1">
      <protection locked="0"/>
    </xf>
    <xf numFmtId="0" fontId="17" fillId="17" borderId="7" xfId="8" applyFont="1" applyFill="1" applyBorder="1" applyProtection="1">
      <protection locked="0"/>
    </xf>
    <xf numFmtId="0" fontId="26" fillId="17" borderId="7" xfId="8" applyFont="1" applyFill="1" applyBorder="1" applyAlignment="1" applyProtection="1">
      <alignment wrapText="1"/>
      <protection locked="0"/>
    </xf>
    <xf numFmtId="1" fontId="18" fillId="18" borderId="7" xfId="1" applyNumberFormat="1" applyFont="1" applyFill="1" applyBorder="1" applyProtection="1">
      <protection locked="0"/>
    </xf>
    <xf numFmtId="0" fontId="17" fillId="17" borderId="0" xfId="8" applyFont="1" applyFill="1" applyBorder="1" applyProtection="1">
      <protection locked="0"/>
    </xf>
    <xf numFmtId="0" fontId="26" fillId="17" borderId="0" xfId="8" applyFont="1" applyFill="1" applyBorder="1" applyAlignment="1" applyProtection="1">
      <alignment wrapText="1"/>
      <protection locked="0"/>
    </xf>
    <xf numFmtId="1" fontId="18" fillId="18" borderId="0" xfId="1" applyNumberFormat="1" applyFont="1" applyFill="1" applyBorder="1" applyProtection="1">
      <protection locked="0"/>
    </xf>
    <xf numFmtId="166" fontId="17" fillId="18" borderId="0" xfId="23" applyNumberFormat="1" applyFont="1" applyFill="1" applyProtection="1">
      <protection locked="0"/>
    </xf>
    <xf numFmtId="44" fontId="17" fillId="18" borderId="0" xfId="1" applyFont="1" applyFill="1" applyBorder="1" applyProtection="1">
      <protection locked="0"/>
    </xf>
    <xf numFmtId="44" fontId="17" fillId="18" borderId="0" xfId="1" applyFont="1" applyFill="1" applyProtection="1">
      <protection locked="0"/>
    </xf>
    <xf numFmtId="44" fontId="17" fillId="26" borderId="0" xfId="23" applyFont="1" applyFill="1" applyProtection="1">
      <protection locked="0"/>
    </xf>
    <xf numFmtId="44" fontId="18" fillId="17" borderId="0" xfId="1" applyFont="1" applyFill="1" applyProtection="1">
      <protection locked="0"/>
    </xf>
    <xf numFmtId="44" fontId="17" fillId="17" borderId="0" xfId="1" applyFont="1" applyFill="1" applyProtection="1">
      <protection locked="0"/>
    </xf>
    <xf numFmtId="1" fontId="17" fillId="23" borderId="0" xfId="1" applyNumberFormat="1" applyFont="1" applyFill="1" applyAlignment="1">
      <alignment horizontal="center"/>
    </xf>
    <xf numFmtId="1" fontId="17" fillId="25" borderId="0" xfId="1" applyNumberFormat="1" applyFont="1" applyFill="1" applyAlignment="1">
      <alignment horizontal="center"/>
    </xf>
  </cellXfs>
  <cellStyles count="24">
    <cellStyle name="Accent" xfId="3" xr:uid="{DCF4CBAE-ED25-4CCA-AD25-6046A245225B}"/>
    <cellStyle name="Accent 1" xfId="4" xr:uid="{5F236649-B0CE-4348-B1E1-C3A68425A9AF}"/>
    <cellStyle name="Accent 2" xfId="5" xr:uid="{BE247130-E471-4BA7-92DB-0FEF9A74F9AA}"/>
    <cellStyle name="Accent 3" xfId="6" xr:uid="{530CCFE5-1224-453C-9DA7-2B7630DA5A92}"/>
    <cellStyle name="Bad" xfId="7" xr:uid="{5CE2F8EC-7CF1-4556-86AC-8387E881547D}"/>
    <cellStyle name="Default" xfId="8" xr:uid="{5228994D-5287-4FE0-81C0-03B6C5A5367B}"/>
    <cellStyle name="Error" xfId="9" xr:uid="{1746BE9B-8A80-460F-AC26-80609D77909A}"/>
    <cellStyle name="Footnote" xfId="10" xr:uid="{5DDABFB5-FCEE-40D2-AA3F-69F54BEEED7F}"/>
    <cellStyle name="Good" xfId="11" xr:uid="{810888BA-586F-4D4D-AD6F-CFE2263B7855}"/>
    <cellStyle name="Heading" xfId="12" xr:uid="{84668ED4-0631-411E-9B38-B87CC66E222E}"/>
    <cellStyle name="Heading 1" xfId="13" xr:uid="{8FB50E36-08F2-4AA7-9B19-9E68417F3B82}"/>
    <cellStyle name="Heading 2" xfId="14" xr:uid="{3ECA311C-AFE3-462B-BDA8-784DE4B87DDC}"/>
    <cellStyle name="Hyperlink" xfId="15" xr:uid="{1B5E4698-6C26-4462-9F61-DBF19F08F452}"/>
    <cellStyle name="Neutral" xfId="2" builtinId="28" customBuiltin="1"/>
    <cellStyle name="Note" xfId="16" xr:uid="{F9001833-D39E-40F8-A29D-113193926C72}"/>
    <cellStyle name="Prozent" xfId="21" builtinId="5"/>
    <cellStyle name="Result" xfId="17" xr:uid="{161D5547-3C79-4FBE-96AE-381389B6A0EA}"/>
    <cellStyle name="Standard" xfId="0" builtinId="0" customBuiltin="1"/>
    <cellStyle name="Status" xfId="18" xr:uid="{DC66BEA4-0ACA-4686-AB52-42AD8583F4DD}"/>
    <cellStyle name="Text" xfId="19" xr:uid="{15845733-A58E-4EB7-93A2-8744BB24558B}"/>
    <cellStyle name="Währung" xfId="1" builtinId="4"/>
    <cellStyle name="Währung 2" xfId="22" xr:uid="{8677D35E-57E6-4860-BA2B-9E9E427B6F48}"/>
    <cellStyle name="Währung 3" xfId="23" xr:uid="{EE94FEF3-4FA0-48FD-8D12-04B8EF35914D}"/>
    <cellStyle name="Warning" xfId="20" xr:uid="{D1D50BB5-4B69-4DB7-8D19-E384E6165E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66674</xdr:rowOff>
    </xdr:from>
    <xdr:to>
      <xdr:col>16</xdr:col>
      <xdr:colOff>542924</xdr:colOff>
      <xdr:row>71</xdr:row>
      <xdr:rowOff>114300</xdr:rowOff>
    </xdr:to>
    <xdr:sp macro="" textlink="">
      <xdr:nvSpPr>
        <xdr:cNvPr id="2" name="Textfeld 1">
          <a:extLst>
            <a:ext uri="{FF2B5EF4-FFF2-40B4-BE49-F238E27FC236}">
              <a16:creationId xmlns:a16="http://schemas.microsoft.com/office/drawing/2014/main" id="{D6B26E56-F533-80E1-6833-BC196C00A3CB}"/>
            </a:ext>
          </a:extLst>
        </xdr:cNvPr>
        <xdr:cNvSpPr txBox="1"/>
      </xdr:nvSpPr>
      <xdr:spPr>
        <a:xfrm>
          <a:off x="762000" y="2009774"/>
          <a:ext cx="11972924" cy="9601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000" b="1">
              <a:solidFill>
                <a:srgbClr val="FF0000"/>
              </a:solidFill>
              <a:latin typeface="Open Sans" panose="020B0606030504020204" pitchFamily="34" charset="0"/>
              <a:ea typeface="Open Sans" panose="020B0606030504020204" pitchFamily="34" charset="0"/>
              <a:cs typeface="Open Sans" panose="020B0606030504020204" pitchFamily="34" charset="0"/>
            </a:rPr>
            <a:t>Bitte unbedingt DIES zuerst lesen!</a:t>
          </a:r>
        </a:p>
        <a:p>
          <a:r>
            <a:rPr lang="de-DE" sz="1200" b="1">
              <a:latin typeface="Open Sans" panose="020B0606030504020204" pitchFamily="34" charset="0"/>
              <a:ea typeface="Open Sans" panose="020B0606030504020204" pitchFamily="34" charset="0"/>
              <a:cs typeface="Open Sans" panose="020B0606030504020204" pitchFamily="34" charset="0"/>
            </a:rPr>
            <a:t>Hallo und Moin,</a:t>
          </a:r>
        </a:p>
        <a:p>
          <a:r>
            <a:rPr lang="de-DE" sz="1200">
              <a:latin typeface="Open Sans" panose="020B0606030504020204" pitchFamily="34" charset="0"/>
              <a:ea typeface="Open Sans" panose="020B0606030504020204" pitchFamily="34" charset="0"/>
              <a:cs typeface="Open Sans" panose="020B0606030504020204" pitchFamily="34" charset="0"/>
            </a:rPr>
            <a:t>hier findest du ein Berechnungstool für die Investitionskosten und die laufenden Kosten zur Herstellung und Bewirtschaftung eines gemeinschaftlichen</a:t>
          </a:r>
          <a:r>
            <a:rPr lang="de-DE" sz="1200" baseline="0">
              <a:latin typeface="Open Sans" panose="020B0606030504020204" pitchFamily="34" charset="0"/>
              <a:ea typeface="Open Sans" panose="020B0606030504020204" pitchFamily="34" charset="0"/>
              <a:cs typeface="Open Sans" panose="020B0606030504020204" pitchFamily="34" charset="0"/>
            </a:rPr>
            <a:t> Wohnprojektes im NEUBAU.</a:t>
          </a:r>
        </a:p>
        <a:p>
          <a:pPr marL="0" marR="0" lvl="0" indent="0" defTabSz="914400" eaLnBrk="1" fontAlgn="auto" latinLnBrk="0" hangingPunct="1">
            <a:lnSpc>
              <a:spcPct val="100000"/>
            </a:lnSpc>
            <a:spcBef>
              <a:spcPts val="0"/>
            </a:spcBef>
            <a:spcAft>
              <a:spcPts val="0"/>
            </a:spcAft>
            <a:buClrTx/>
            <a:buSzTx/>
            <a:buFontTx/>
            <a:buNone/>
            <a:tabLst/>
            <a:defRPr/>
          </a:pPr>
          <a:r>
            <a:rPr lang="de-DE" sz="1200" baseline="0">
              <a:latin typeface="Open Sans" panose="020B0606030504020204" pitchFamily="34" charset="0"/>
              <a:ea typeface="Open Sans" panose="020B0606030504020204" pitchFamily="34" charset="0"/>
              <a:cs typeface="Open Sans" panose="020B0606030504020204" pitchFamily="34" charset="0"/>
            </a:rPr>
            <a:t>Die Datei ist mit Beispielzahlen gefüttert- dieses Beisspiel ist fiktiv. Schau es dir gerne an, um die Mechanik der Berechnungen zu verstehen. Dann füttetere die Tabellen mit den Zahlen zu deinem Wunsch- bzw. Traumprojekt. Weißt du einzelne Variablen nicht, schätze so gut du kannst. In die grauen Felder musst du nicht einfüllen, hier laufen automatische Berechnungen und du kannst Ergebnisse sehen.</a:t>
          </a:r>
          <a:endParaRPr lang="de-DE" sz="1200" baseline="0">
            <a:solidFill>
              <a:schemeClr val="dk1"/>
            </a:solidFill>
            <a:latin typeface="Open Sans" panose="020B0606030504020204" pitchFamily="34" charset="0"/>
            <a:ea typeface="Open Sans" panose="020B0606030504020204" pitchFamily="34" charset="0"/>
            <a:cs typeface="Open Sans" panose="020B0606030504020204" pitchFamily="34" charset="0"/>
          </a:endParaRPr>
        </a:p>
        <a:p>
          <a:endParaRPr lang="de-DE" sz="1200" baseline="0">
            <a:latin typeface="Open Sans" panose="020B0606030504020204" pitchFamily="34" charset="0"/>
            <a:ea typeface="Open Sans" panose="020B0606030504020204" pitchFamily="34" charset="0"/>
            <a:cs typeface="Open Sans" panose="020B0606030504020204" pitchFamily="34" charset="0"/>
          </a:endParaRPr>
        </a:p>
        <a:p>
          <a:r>
            <a:rPr lang="de-DE" sz="1200" baseline="0">
              <a:latin typeface="Open Sans" panose="020B0606030504020204" pitchFamily="34" charset="0"/>
              <a:ea typeface="Open Sans" panose="020B0606030504020204" pitchFamily="34" charset="0"/>
              <a:cs typeface="Open Sans" panose="020B0606030504020204" pitchFamily="34" charset="0"/>
            </a:rPr>
            <a:t>Damit du ein paar Varianten ausprobieren kannst, ist es am Anfang sinnvoll, wenn du dir diese Datei unter einem anderen Namen abspeicherst und nur eine </a:t>
          </a:r>
          <a:r>
            <a:rPr lang="de-DE" sz="1200" baseline="0">
              <a:solidFill>
                <a:srgbClr val="FF0000"/>
              </a:solidFill>
              <a:latin typeface="Open Sans" panose="020B0606030504020204" pitchFamily="34" charset="0"/>
              <a:ea typeface="Open Sans" panose="020B0606030504020204" pitchFamily="34" charset="0"/>
              <a:cs typeface="Open Sans" panose="020B0606030504020204" pitchFamily="34" charset="0"/>
            </a:rPr>
            <a:t>Kopie zum Bearbeiten nutzt</a:t>
          </a:r>
          <a:r>
            <a:rPr lang="de-DE" sz="1200" baseline="0">
              <a:latin typeface="Open Sans" panose="020B0606030504020204" pitchFamily="34" charset="0"/>
              <a:ea typeface="Open Sans" panose="020B0606030504020204" pitchFamily="34" charset="0"/>
              <a:cs typeface="Open Sans" panose="020B0606030504020204" pitchFamily="34" charset="0"/>
            </a:rPr>
            <a:t>, so kannst du jederzeit wieder mit einer neuen Kopie beginnen.</a:t>
          </a:r>
        </a:p>
        <a:p>
          <a:r>
            <a:rPr lang="de-DE" sz="1200" baseline="0">
              <a:latin typeface="Open Sans" panose="020B0606030504020204" pitchFamily="34" charset="0"/>
              <a:ea typeface="Open Sans" panose="020B0606030504020204" pitchFamily="34" charset="0"/>
              <a:cs typeface="Open Sans" panose="020B0606030504020204" pitchFamily="34" charset="0"/>
            </a:rPr>
            <a:t>Wenn du wesentliche Parameter eingegeben hast, laufen verschiedene Berechnungen innerhalb des Programmes von allein. Alle Felder lassen sich aber auch überarbeiten und verändern. Sollte etwas durcheinander gehen, benutze einfach frische Kopie.</a:t>
          </a:r>
        </a:p>
        <a:p>
          <a:endParaRPr lang="de-DE" sz="1200" baseline="0">
            <a:latin typeface="Open Sans" panose="020B0606030504020204" pitchFamily="34" charset="0"/>
            <a:ea typeface="Open Sans" panose="020B0606030504020204" pitchFamily="34" charset="0"/>
            <a:cs typeface="Open Sans" panose="020B0606030504020204" pitchFamily="34" charset="0"/>
          </a:endParaRPr>
        </a:p>
        <a:p>
          <a:r>
            <a:rPr lang="de-DE" sz="1200" baseline="0">
              <a:latin typeface="Open Sans" panose="020B0606030504020204" pitchFamily="34" charset="0"/>
              <a:ea typeface="Open Sans" panose="020B0606030504020204" pitchFamily="34" charset="0"/>
              <a:cs typeface="Open Sans" panose="020B0606030504020204" pitchFamily="34" charset="0"/>
            </a:rPr>
            <a:t>Solltest du einen Fehler finden oder die Datei um etwas ergänzen, freuen wir uns über eine Rückmeldung und nehmen es gerne für alle auf.</a:t>
          </a:r>
        </a:p>
        <a:p>
          <a:endParaRPr lang="de-DE" sz="1200" baseline="0">
            <a:latin typeface="Open Sans" panose="020B0606030504020204" pitchFamily="34" charset="0"/>
            <a:ea typeface="Open Sans" panose="020B0606030504020204" pitchFamily="34" charset="0"/>
            <a:cs typeface="Open Sans" panose="020B0606030504020204" pitchFamily="34" charset="0"/>
          </a:endParaRPr>
        </a:p>
        <a:p>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Angaben sowohl zu kommunalen Förderprogrammen in Bremen als auch für zinsbegünstigte Kredite der KFW entsprechen dem Stand des unten angegebenen Datums und sind nach bestem Wissen recherchiert. Für Fehler übernehmen wir keinerlei Haftung!</a:t>
          </a:r>
        </a:p>
        <a:p>
          <a:endParaRPr lang="de-DE" sz="1200">
            <a:effectLst/>
            <a:latin typeface="Open Sans" panose="020B0606030504020204" pitchFamily="34" charset="0"/>
            <a:ea typeface="Open Sans" panose="020B0606030504020204" pitchFamily="34" charset="0"/>
            <a:cs typeface="Open Sans" panose="020B0606030504020204" pitchFamily="34" charset="0"/>
          </a:endParaRPr>
        </a:p>
        <a:p>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Förderprogramme sind an Bedingungen gebunden. Das können energetischer Zustand, Wohnungsgröße, maximale Höhe der Bau- oder Modernisierungskosten, Vergleichsbaukosten und vieles mehr sein. Bitte macht euch schlau und recherchiert auf den Seiten der Bremer Aufbaubank (https://www.bab-bremen.de/de/page/wohnraumfoerderung) und der Kreditanstalt für Wiederaufbau (https://www.kfw.de/kfw.de.html). Alle Fördervoraussetzungen müssen zwingend eingehalten werden!</a:t>
          </a:r>
        </a:p>
        <a:p>
          <a:endParaRPr lang="de-DE" sz="1200">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Bedingungen können sich schnell und ohne Vorwarnung ändern. Es ist gut mit den bewilligenden Stellen (Behörde &amp; Kreditinstitut) im Gespräch zu sein und immer mal wieder nachzufragen.</a:t>
          </a:r>
        </a:p>
        <a:p>
          <a:pPr marL="0" marR="0" lvl="0" indent="0" defTabSz="914400" eaLnBrk="1" fontAlgn="auto" latinLnBrk="0" hangingPunct="1">
            <a:lnSpc>
              <a:spcPct val="100000"/>
            </a:lnSpc>
            <a:spcBef>
              <a:spcPts val="0"/>
            </a:spcBef>
            <a:spcAft>
              <a:spcPts val="0"/>
            </a:spcAft>
            <a:buClrTx/>
            <a:buSzTx/>
            <a:buFontTx/>
            <a:buNone/>
            <a:tabLst/>
            <a:defRPr/>
          </a:pPr>
          <a:endPar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Ein Thema, das hier nicht behandelt wird, aber in der Finanzierung eines Projektes auch von entscheidender Bedeutung ist, ist die Liquiditätsplanung: Wann fließt welches Geld/muss gezahlt werden und ab wann werden welche Einnahmen generiert. Seid bei euren Planungen auch für dieses Thema sensibel. Dies behandeln wir hier nicht. So sind auch die tilgungsfreien Anlaufjahre der KFW unberücksichtigt geblieben, die sind bei diesem Thema sehr wichtig.</a:t>
          </a:r>
        </a:p>
        <a:p>
          <a:pPr marL="0" marR="0" lvl="0" indent="0" defTabSz="914400" eaLnBrk="1" fontAlgn="auto" latinLnBrk="0" hangingPunct="1">
            <a:lnSpc>
              <a:spcPct val="100000"/>
            </a:lnSpc>
            <a:spcBef>
              <a:spcPts val="0"/>
            </a:spcBef>
            <a:spcAft>
              <a:spcPts val="0"/>
            </a:spcAft>
            <a:buClrTx/>
            <a:buSzTx/>
            <a:buFontTx/>
            <a:buNone/>
            <a:tabLst/>
            <a:defRPr/>
          </a:pPr>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Auch die Frage nach Zinssätzen für die nötige Anschlussfinanzierung nach Ende der Zinsbindungsfrist wird in diesem Tool nicht behandelt, der einfachheithalber wird von weitergeschriebenen Zinskonditionen ausgegangen.</a:t>
          </a:r>
        </a:p>
        <a:p>
          <a:pPr marL="0" marR="0" lvl="0" indent="0" defTabSz="914400" eaLnBrk="1" fontAlgn="auto" latinLnBrk="0" hangingPunct="1">
            <a:lnSpc>
              <a:spcPct val="100000"/>
            </a:lnSpc>
            <a:spcBef>
              <a:spcPts val="0"/>
            </a:spcBef>
            <a:spcAft>
              <a:spcPts val="0"/>
            </a:spcAft>
            <a:buClrTx/>
            <a:buSzTx/>
            <a:buFontTx/>
            <a:buNone/>
            <a:tabLst/>
            <a:defRPr/>
          </a:pPr>
          <a:r>
            <a:rPr lang="de-DE" sz="12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Für einen 1. Eindruck sollten die Möglichkeiten hier ausreichend sein.</a:t>
          </a:r>
          <a:endParaRPr lang="de-DE" sz="1200">
            <a:effectLst/>
            <a:latin typeface="Open Sans" panose="020B0606030504020204" pitchFamily="34" charset="0"/>
            <a:ea typeface="Open Sans" panose="020B0606030504020204" pitchFamily="34" charset="0"/>
            <a:cs typeface="Open Sans" panose="020B0606030504020204" pitchFamily="34" charset="0"/>
          </a:endParaRPr>
        </a:p>
        <a:p>
          <a:endParaRPr lang="de-DE" sz="1200" baseline="0">
            <a:latin typeface="Open Sans" panose="020B0606030504020204" pitchFamily="34" charset="0"/>
            <a:ea typeface="Open Sans" panose="020B0606030504020204" pitchFamily="34" charset="0"/>
            <a:cs typeface="Open Sans" panose="020B0606030504020204" pitchFamily="34" charset="0"/>
          </a:endParaRPr>
        </a:p>
        <a:p>
          <a:endParaRPr lang="de-DE" sz="1200" baseline="0">
            <a:latin typeface="Open Sans" panose="020B0606030504020204" pitchFamily="34" charset="0"/>
            <a:ea typeface="Open Sans" panose="020B0606030504020204" pitchFamily="34" charset="0"/>
            <a:cs typeface="Open Sans" panose="020B0606030504020204" pitchFamily="34" charset="0"/>
          </a:endParaRPr>
        </a:p>
        <a:p>
          <a:endParaRPr lang="de-DE" sz="1200" baseline="0">
            <a:latin typeface="Open Sans" panose="020B0606030504020204" pitchFamily="34" charset="0"/>
            <a:ea typeface="Open Sans" panose="020B0606030504020204" pitchFamily="34" charset="0"/>
            <a:cs typeface="Open Sans" panose="020B0606030504020204" pitchFamily="34" charset="0"/>
          </a:endParaRPr>
        </a:p>
        <a:p>
          <a:r>
            <a:rPr lang="de-DE" sz="1200" baseline="0">
              <a:latin typeface="Open Sans" panose="020B0606030504020204" pitchFamily="34" charset="0"/>
              <a:ea typeface="Open Sans" panose="020B0606030504020204" pitchFamily="34" charset="0"/>
              <a:cs typeface="Open Sans" panose="020B0606030504020204" pitchFamily="34" charset="0"/>
            </a:rPr>
            <a:t>Beste Grüße und gute Ergebnisse,</a:t>
          </a:r>
        </a:p>
        <a:p>
          <a:r>
            <a:rPr lang="de-DE" sz="1200" baseline="0">
              <a:latin typeface="Open Sans" panose="020B0606030504020204" pitchFamily="34" charset="0"/>
              <a:ea typeface="Open Sans" panose="020B0606030504020204" pitchFamily="34" charset="0"/>
              <a:cs typeface="Open Sans" panose="020B0606030504020204" pitchFamily="34" charset="0"/>
            </a:rPr>
            <a:t>Petra Schultz-Adebahr für das Netzwerk Wohnprojekte Bremen und die Informations- und Beratungsstelle wohn.pro</a:t>
          </a:r>
        </a:p>
        <a:p>
          <a:r>
            <a:rPr lang="de-DE" sz="1200" baseline="0">
              <a:latin typeface="Open Sans" panose="020B0606030504020204" pitchFamily="34" charset="0"/>
              <a:ea typeface="Open Sans" panose="020B0606030504020204" pitchFamily="34" charset="0"/>
              <a:cs typeface="Open Sans" panose="020B0606030504020204" pitchFamily="34" charset="0"/>
            </a:rPr>
            <a:t>beratung@wohnprojekteBremen.de</a:t>
          </a:r>
        </a:p>
        <a:p>
          <a:endParaRPr lang="de-DE" sz="1200" baseline="0">
            <a:latin typeface="Open Sans" panose="020B0606030504020204" pitchFamily="34" charset="0"/>
            <a:ea typeface="Open Sans" panose="020B0606030504020204" pitchFamily="34" charset="0"/>
            <a:cs typeface="Open Sans" panose="020B0606030504020204" pitchFamily="34" charset="0"/>
          </a:endParaRPr>
        </a:p>
        <a:p>
          <a:endParaRPr lang="de-DE" sz="1200">
            <a:latin typeface="Open Sans" panose="020B0606030504020204" pitchFamily="34" charset="0"/>
            <a:ea typeface="Open Sans" panose="020B0606030504020204" pitchFamily="34" charset="0"/>
            <a:cs typeface="Open Sans" panose="020B0606030504020204" pitchFamily="34" charset="0"/>
          </a:endParaRPr>
        </a:p>
        <a:p>
          <a:endParaRPr lang="de-DE" sz="1200">
            <a:latin typeface="Open Sans" panose="020B0606030504020204" pitchFamily="34" charset="0"/>
            <a:ea typeface="Open Sans" panose="020B0606030504020204" pitchFamily="34" charset="0"/>
            <a:cs typeface="Open Sans" panose="020B0606030504020204" pitchFamily="34" charset="0"/>
          </a:endParaRPr>
        </a:p>
        <a:p>
          <a:r>
            <a:rPr lang="de-DE" sz="1200">
              <a:latin typeface="Open Sans" panose="020B0606030504020204" pitchFamily="34" charset="0"/>
              <a:ea typeface="Open Sans" panose="020B0606030504020204" pitchFamily="34" charset="0"/>
              <a:cs typeface="Open Sans" panose="020B0606030504020204" pitchFamily="34" charset="0"/>
            </a:rPr>
            <a:t>Berechnung gemeinschaftliches Wohnprojekt  © 2026 by Netzwerk Wohnprojekte Bremen- P. Schultz-Adebahr is licensed under CC BY-NC 4.0. To view a copy of this license, visit https://creativecommons.org/licenses/by-nc/4.0/</a:t>
          </a:r>
        </a:p>
        <a:p>
          <a:endParaRPr lang="de-DE" sz="1200">
            <a:latin typeface="Open Sans" panose="020B0606030504020204" pitchFamily="34" charset="0"/>
            <a:ea typeface="Open Sans" panose="020B0606030504020204" pitchFamily="34" charset="0"/>
            <a:cs typeface="Open Sans" panose="020B0606030504020204" pitchFamily="34" charset="0"/>
          </a:endParaRPr>
        </a:p>
        <a:p>
          <a:r>
            <a:rPr lang="de-DE" sz="1200">
              <a:latin typeface="Open Sans" panose="020B0606030504020204" pitchFamily="34" charset="0"/>
              <a:ea typeface="Open Sans" panose="020B0606030504020204" pitchFamily="34" charset="0"/>
              <a:cs typeface="Open Sans" panose="020B0606030504020204" pitchFamily="34" charset="0"/>
            </a:rPr>
            <a:t>Version 1.3, 02.04.2026</a:t>
          </a:r>
        </a:p>
        <a:p>
          <a:endParaRPr lang="de-DE" sz="1100"/>
        </a:p>
      </xdr:txBody>
    </xdr:sp>
    <xdr:clientData/>
  </xdr:twoCellAnchor>
  <xdr:twoCellAnchor>
    <xdr:from>
      <xdr:col>10</xdr:col>
      <xdr:colOff>180975</xdr:colOff>
      <xdr:row>0</xdr:row>
      <xdr:rowOff>57150</xdr:rowOff>
    </xdr:from>
    <xdr:to>
      <xdr:col>12</xdr:col>
      <xdr:colOff>447675</xdr:colOff>
      <xdr:row>10</xdr:row>
      <xdr:rowOff>142875</xdr:rowOff>
    </xdr:to>
    <xdr:pic>
      <xdr:nvPicPr>
        <xdr:cNvPr id="3" name="Grafik 2">
          <a:extLst>
            <a:ext uri="{FF2B5EF4-FFF2-40B4-BE49-F238E27FC236}">
              <a16:creationId xmlns:a16="http://schemas.microsoft.com/office/drawing/2014/main" id="{E7C9C09E-CFC0-31C4-A244-09C0909140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00975" y="57150"/>
          <a:ext cx="1790700"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7</xdr:col>
      <xdr:colOff>1086867</xdr:colOff>
      <xdr:row>41</xdr:row>
      <xdr:rowOff>57605</xdr:rowOff>
    </xdr:to>
    <xdr:pic>
      <xdr:nvPicPr>
        <xdr:cNvPr id="2" name="Grafik 1">
          <a:extLst>
            <a:ext uri="{FF2B5EF4-FFF2-40B4-BE49-F238E27FC236}">
              <a16:creationId xmlns:a16="http://schemas.microsoft.com/office/drawing/2014/main" id="{9AD27372-4033-86E5-5980-6812E3A8A32A}"/>
            </a:ext>
          </a:extLst>
        </xdr:cNvPr>
        <xdr:cNvPicPr>
          <a:picLocks noChangeAspect="1"/>
        </xdr:cNvPicPr>
      </xdr:nvPicPr>
      <xdr:blipFill>
        <a:blip xmlns:r="http://schemas.openxmlformats.org/officeDocument/2006/relationships" r:embed="rId1"/>
        <a:stretch>
          <a:fillRect/>
        </a:stretch>
      </xdr:blipFill>
      <xdr:spPr>
        <a:xfrm>
          <a:off x="762000" y="6372225"/>
          <a:ext cx="7287642" cy="3258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1123950</xdr:colOff>
      <xdr:row>32</xdr:row>
      <xdr:rowOff>50799</xdr:rowOff>
    </xdr:from>
    <xdr:to>
      <xdr:col>6</xdr:col>
      <xdr:colOff>285750</xdr:colOff>
      <xdr:row>57</xdr:row>
      <xdr:rowOff>38839</xdr:rowOff>
    </xdr:to>
    <xdr:pic>
      <xdr:nvPicPr>
        <xdr:cNvPr id="2" name="Grafik 1">
          <a:extLst>
            <a:ext uri="{FF2B5EF4-FFF2-40B4-BE49-F238E27FC236}">
              <a16:creationId xmlns:a16="http://schemas.microsoft.com/office/drawing/2014/main" id="{AA3C4646-9F5B-E307-F895-35F2FCAAF597}"/>
            </a:ext>
          </a:extLst>
        </xdr:cNvPr>
        <xdr:cNvPicPr>
          <a:picLocks noChangeAspect="1"/>
        </xdr:cNvPicPr>
      </xdr:nvPicPr>
      <xdr:blipFill>
        <a:blip xmlns:r="http://schemas.openxmlformats.org/officeDocument/2006/relationships" r:embed="rId1"/>
        <a:stretch>
          <a:fillRect/>
        </a:stretch>
      </xdr:blipFill>
      <xdr:spPr>
        <a:xfrm>
          <a:off x="1123950" y="4260849"/>
          <a:ext cx="6134100" cy="403616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23B59-B06B-43E1-BABA-3056ACF4E051}">
  <dimension ref="O54"/>
  <sheetViews>
    <sheetView showGridLines="0" tabSelected="1" topLeftCell="A30" zoomScaleNormal="100" workbookViewId="0">
      <selection activeCell="U21" sqref="U21"/>
    </sheetView>
  </sheetViews>
  <sheetFormatPr baseColWidth="10" defaultRowHeight="12.75"/>
  <sheetData>
    <row r="54" spans="15:15">
      <c r="O54" t="s">
        <v>119</v>
      </c>
    </row>
  </sheetData>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8B99-78A8-4C47-975B-A68CD1CD2A6E}">
  <dimension ref="B1:E20"/>
  <sheetViews>
    <sheetView workbookViewId="0">
      <selection activeCell="B1" sqref="B1:D1"/>
    </sheetView>
  </sheetViews>
  <sheetFormatPr baseColWidth="10" defaultRowHeight="12.75"/>
  <cols>
    <col min="4" max="4" width="18" bestFit="1" customWidth="1"/>
    <col min="5" max="5" width="12" bestFit="1" customWidth="1"/>
  </cols>
  <sheetData>
    <row r="1" spans="2:5" ht="15.75">
      <c r="B1" s="157" t="s">
        <v>80</v>
      </c>
      <c r="C1" s="157"/>
      <c r="D1" s="157"/>
      <c r="E1" s="152"/>
    </row>
    <row r="2" spans="2:5" ht="15">
      <c r="B2" s="152"/>
      <c r="C2" s="152"/>
      <c r="D2" s="152"/>
      <c r="E2" s="152"/>
    </row>
    <row r="3" spans="2:5" ht="15">
      <c r="B3" s="152" t="s">
        <v>75</v>
      </c>
      <c r="C3" s="153"/>
      <c r="D3" s="154">
        <f>Eigenmittel_Förderung!E7</f>
        <v>2028000</v>
      </c>
      <c r="E3" s="152"/>
    </row>
    <row r="4" spans="2:5" ht="15">
      <c r="B4" s="152" t="s">
        <v>76</v>
      </c>
      <c r="C4" s="152"/>
      <c r="D4" s="155">
        <f>Eigenmittel_Förderung!E8</f>
        <v>150000</v>
      </c>
      <c r="E4" s="155"/>
    </row>
    <row r="5" spans="2:5" ht="15">
      <c r="B5" s="152"/>
      <c r="C5" s="152"/>
      <c r="D5" s="155"/>
      <c r="E5" s="155"/>
    </row>
    <row r="6" spans="2:5" ht="15">
      <c r="B6" s="152" t="s">
        <v>78</v>
      </c>
      <c r="C6" s="152"/>
      <c r="D6" s="155">
        <f>Eigenmittel_Förderung!E32</f>
        <v>2078505</v>
      </c>
      <c r="E6" s="155">
        <v>6.8</v>
      </c>
    </row>
    <row r="7" spans="2:5" ht="15">
      <c r="B7" s="152" t="s">
        <v>79</v>
      </c>
      <c r="C7" s="152"/>
      <c r="D7" s="155">
        <f>Eigenmittel_Förderung!E25</f>
        <v>165000</v>
      </c>
      <c r="E7" s="155">
        <v>6.8</v>
      </c>
    </row>
    <row r="8" spans="2:5" ht="15">
      <c r="B8" s="152"/>
      <c r="C8" s="152"/>
      <c r="D8" s="155"/>
      <c r="E8" s="155"/>
    </row>
    <row r="9" spans="2:5" ht="15">
      <c r="B9" s="152" t="s">
        <v>78</v>
      </c>
      <c r="C9" s="152"/>
      <c r="D9" s="155">
        <f>Eigenmittel_Förderung!E57</f>
        <v>1040910</v>
      </c>
      <c r="E9" s="155">
        <v>9</v>
      </c>
    </row>
    <row r="10" spans="2:5" ht="15">
      <c r="B10" s="152" t="s">
        <v>79</v>
      </c>
      <c r="C10" s="152"/>
      <c r="D10" s="155">
        <f>Eigenmittel_Förderung!E50</f>
        <v>60000</v>
      </c>
      <c r="E10" s="155">
        <v>9</v>
      </c>
    </row>
    <row r="11" spans="2:5" ht="15">
      <c r="B11" s="152"/>
      <c r="C11" s="152"/>
      <c r="D11" s="152"/>
      <c r="E11" s="155"/>
    </row>
    <row r="12" spans="2:5" ht="15">
      <c r="B12" s="152"/>
      <c r="C12" s="152"/>
      <c r="D12" s="152"/>
      <c r="E12" s="155"/>
    </row>
    <row r="13" spans="2:5" ht="15">
      <c r="B13" s="152" t="s">
        <v>77</v>
      </c>
      <c r="C13" s="152"/>
      <c r="D13" s="155">
        <f>KFW!H13</f>
        <v>2300000</v>
      </c>
      <c r="E13" s="152"/>
    </row>
    <row r="14" spans="2:5" ht="15">
      <c r="B14" s="152"/>
      <c r="C14" s="152"/>
      <c r="D14" s="155"/>
      <c r="E14" s="152"/>
    </row>
    <row r="15" spans="2:5" ht="15">
      <c r="B15" s="152"/>
      <c r="C15" s="152"/>
      <c r="D15" s="152"/>
      <c r="E15" s="152"/>
    </row>
    <row r="16" spans="2:5" ht="15">
      <c r="B16" s="152" t="s">
        <v>81</v>
      </c>
      <c r="C16" s="152"/>
      <c r="D16" s="155">
        <f>Fremdkapital!H4</f>
        <v>473026</v>
      </c>
      <c r="E16" s="152"/>
    </row>
    <row r="17" spans="2:5" ht="15">
      <c r="B17" s="152"/>
      <c r="C17" s="152"/>
      <c r="D17" s="152"/>
      <c r="E17" s="152"/>
    </row>
    <row r="18" spans="2:5" ht="15">
      <c r="B18" s="152"/>
      <c r="C18" s="152"/>
      <c r="D18" s="152"/>
      <c r="E18" s="152"/>
    </row>
    <row r="19" spans="2:5" ht="15.75" thickBot="1">
      <c r="B19" s="152"/>
      <c r="C19" s="152"/>
      <c r="D19" s="156">
        <f>SUM(D3:D18)</f>
        <v>8295441</v>
      </c>
      <c r="E19" s="152"/>
    </row>
    <row r="20" spans="2:5" ht="13.5" thickTop="1"/>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A16A2-EE6C-43F6-9FCE-4F0320773155}">
  <dimension ref="A1:E33"/>
  <sheetViews>
    <sheetView topLeftCell="A4" workbookViewId="0">
      <selection activeCell="A19" sqref="A19"/>
    </sheetView>
  </sheetViews>
  <sheetFormatPr baseColWidth="10" defaultRowHeight="12.75"/>
  <cols>
    <col min="1" max="1" width="47.42578125" customWidth="1"/>
    <col min="2" max="2" width="11" style="26" customWidth="1"/>
    <col min="3" max="3" width="11.85546875" style="26" bestFit="1" customWidth="1"/>
  </cols>
  <sheetData>
    <row r="1" spans="1:5">
      <c r="A1" s="158" t="s">
        <v>0</v>
      </c>
      <c r="B1" s="159"/>
      <c r="C1" s="160"/>
      <c r="D1" s="138"/>
      <c r="E1" s="120"/>
    </row>
    <row r="2" spans="1:5">
      <c r="A2" s="140" t="s">
        <v>46</v>
      </c>
      <c r="B2" s="161"/>
      <c r="C2" s="161" t="s">
        <v>116</v>
      </c>
      <c r="D2" s="140" t="s">
        <v>112</v>
      </c>
      <c r="E2" s="140" t="s">
        <v>113</v>
      </c>
    </row>
    <row r="3" spans="1:5">
      <c r="A3" s="140" t="s">
        <v>47</v>
      </c>
      <c r="B3" s="162"/>
      <c r="C3" s="163">
        <f>Eigenmittel_Förderung!E10</f>
        <v>125</v>
      </c>
      <c r="D3" s="148">
        <f>C3/Wohnungen!$D$30</f>
        <v>9.2455621301775148E-2</v>
      </c>
      <c r="E3" s="148">
        <f>D3*12</f>
        <v>1.1094674556213018</v>
      </c>
    </row>
    <row r="4" spans="1:5">
      <c r="A4" s="140" t="s">
        <v>48</v>
      </c>
      <c r="B4" s="164">
        <v>6.8</v>
      </c>
      <c r="C4" s="163">
        <f>Eigenmittel_Förderung!E41</f>
        <v>6231.958333333333</v>
      </c>
      <c r="D4" s="148">
        <f>C4/Wohnungen!$D$30</f>
        <v>4.6094366370808677</v>
      </c>
      <c r="E4" s="148">
        <f t="shared" ref="E4:E25" si="0">D4*12</f>
        <v>55.313239644970409</v>
      </c>
    </row>
    <row r="5" spans="1:5">
      <c r="A5" s="140" t="s">
        <v>48</v>
      </c>
      <c r="B5" s="164">
        <v>9</v>
      </c>
      <c r="C5" s="163">
        <f>Eigenmittel_Förderung!E66</f>
        <v>3058.0833333333335</v>
      </c>
      <c r="D5" s="148">
        <f>C5/Wohnungen!$D$30</f>
        <v>2.261895956607495</v>
      </c>
      <c r="E5" s="148">
        <f t="shared" si="0"/>
        <v>27.142751479289942</v>
      </c>
    </row>
    <row r="6" spans="1:5">
      <c r="A6" s="140" t="s">
        <v>49</v>
      </c>
      <c r="B6" s="162"/>
      <c r="C6" s="163">
        <f>KFW!E21</f>
        <v>9410.8333333333339</v>
      </c>
      <c r="D6" s="148">
        <f>C6/Wohnungen!$D$30</f>
        <v>6.960675542406312</v>
      </c>
      <c r="E6" s="148">
        <f t="shared" si="0"/>
        <v>83.528106508875737</v>
      </c>
    </row>
    <row r="7" spans="1:5">
      <c r="A7" s="140" t="s">
        <v>50</v>
      </c>
      <c r="B7" s="162"/>
      <c r="C7" s="163">
        <f>Fremdkapital!E15</f>
        <v>1970.9416666666666</v>
      </c>
      <c r="D7" s="148">
        <f>C7/Wohnungen!$D$30</f>
        <v>1.457797090729783</v>
      </c>
      <c r="E7" s="148">
        <f t="shared" si="0"/>
        <v>17.493565088757396</v>
      </c>
    </row>
    <row r="8" spans="1:5">
      <c r="A8" s="140"/>
      <c r="B8" s="161"/>
      <c r="C8" s="163"/>
      <c r="D8" s="148"/>
      <c r="E8" s="148"/>
    </row>
    <row r="9" spans="1:5">
      <c r="A9" s="140" t="s">
        <v>10</v>
      </c>
      <c r="B9" s="161"/>
      <c r="C9" s="163">
        <f>SUM(C3:C8)</f>
        <v>20796.816666666666</v>
      </c>
      <c r="D9" s="148">
        <f>C9/Wohnungen!$D$30</f>
        <v>15.382260848126233</v>
      </c>
      <c r="E9" s="148">
        <f t="shared" si="0"/>
        <v>184.58713017751478</v>
      </c>
    </row>
    <row r="10" spans="1:5">
      <c r="A10" s="140"/>
      <c r="B10" s="161"/>
      <c r="C10" s="163"/>
      <c r="D10" s="148"/>
      <c r="E10" s="148"/>
    </row>
    <row r="11" spans="1:5">
      <c r="A11" s="140"/>
      <c r="B11" s="161"/>
      <c r="C11" s="163"/>
      <c r="D11" s="148"/>
      <c r="E11" s="148"/>
    </row>
    <row r="12" spans="1:5">
      <c r="A12" s="140"/>
      <c r="B12" s="161"/>
      <c r="C12" s="163"/>
      <c r="D12" s="148"/>
      <c r="E12" s="148"/>
    </row>
    <row r="13" spans="1:5">
      <c r="A13" s="140" t="s">
        <v>51</v>
      </c>
      <c r="B13" s="161"/>
      <c r="C13" s="163"/>
      <c r="D13" s="148"/>
      <c r="E13" s="148"/>
    </row>
    <row r="14" spans="1:5">
      <c r="A14" s="140"/>
      <c r="B14" s="161"/>
      <c r="C14" s="163"/>
      <c r="D14" s="148"/>
      <c r="E14" s="148"/>
    </row>
    <row r="15" spans="1:5">
      <c r="A15" s="140" t="s">
        <v>131</v>
      </c>
      <c r="B15" s="161"/>
      <c r="C15" s="163">
        <f>'Investition Neubau'!C20</f>
        <v>1351.5</v>
      </c>
      <c r="D15" s="148">
        <f>C15/Wohnungen!$D$30</f>
        <v>0.99963017751479288</v>
      </c>
      <c r="E15" s="148">
        <f t="shared" si="0"/>
        <v>11.995562130177515</v>
      </c>
    </row>
    <row r="16" spans="1:5">
      <c r="A16" s="140" t="s">
        <v>132</v>
      </c>
      <c r="B16" s="161">
        <f>350/12</f>
        <v>29.166666666666668</v>
      </c>
      <c r="C16" s="163">
        <f>'Investition Neubau'!C27*B16</f>
        <v>670.83333333333337</v>
      </c>
      <c r="D16" s="148">
        <f>C16/Wohnungen!$D$30</f>
        <v>0.49617850098619332</v>
      </c>
      <c r="E16" s="148">
        <f t="shared" si="0"/>
        <v>5.9541420118343193</v>
      </c>
    </row>
    <row r="17" spans="1:5">
      <c r="A17" s="120"/>
      <c r="B17" s="163"/>
      <c r="C17" s="163"/>
      <c r="D17" s="148"/>
      <c r="E17" s="148"/>
    </row>
    <row r="18" spans="1:5">
      <c r="A18" s="140"/>
      <c r="B18" s="161"/>
      <c r="C18" s="163"/>
      <c r="D18" s="148"/>
      <c r="E18" s="148"/>
    </row>
    <row r="19" spans="1:5">
      <c r="A19" s="2" t="s">
        <v>134</v>
      </c>
      <c r="B19" s="27"/>
      <c r="C19" s="26">
        <v>0</v>
      </c>
      <c r="D19" s="24"/>
      <c r="E19" s="24">
        <f t="shared" si="0"/>
        <v>0</v>
      </c>
    </row>
    <row r="20" spans="1:5">
      <c r="A20" s="2"/>
      <c r="B20" s="27"/>
      <c r="C20" s="28"/>
      <c r="D20" s="24"/>
      <c r="E20" s="24"/>
    </row>
    <row r="21" spans="1:5">
      <c r="A21" s="140" t="s">
        <v>114</v>
      </c>
      <c r="B21" s="161"/>
      <c r="C21" s="165">
        <f>SUM(C15:C20)</f>
        <v>2022.3333333333335</v>
      </c>
      <c r="D21" s="148">
        <f>C21/Wohnungen!$D$30</f>
        <v>1.4958086785009863</v>
      </c>
      <c r="E21" s="148">
        <f t="shared" si="0"/>
        <v>17.949704142011836</v>
      </c>
    </row>
    <row r="22" spans="1:5">
      <c r="A22" s="140"/>
      <c r="B22" s="161"/>
      <c r="C22" s="165"/>
      <c r="D22" s="148"/>
      <c r="E22" s="148"/>
    </row>
    <row r="23" spans="1:5">
      <c r="A23" s="120" t="s">
        <v>115</v>
      </c>
      <c r="B23" s="161"/>
      <c r="C23" s="165">
        <f>C9+C21</f>
        <v>22819.149999999998</v>
      </c>
      <c r="D23" s="148">
        <f>C23/Wohnungen!$D$30</f>
        <v>16.878069526627218</v>
      </c>
      <c r="E23" s="148"/>
    </row>
    <row r="24" spans="1:5">
      <c r="A24" s="140"/>
      <c r="B24" s="161"/>
      <c r="C24" s="165"/>
      <c r="D24" s="148"/>
      <c r="E24" s="148"/>
    </row>
    <row r="25" spans="1:5">
      <c r="A25" s="140" t="s">
        <v>52</v>
      </c>
      <c r="B25" s="162">
        <v>0.02</v>
      </c>
      <c r="C25" s="163">
        <f>C23*0.02</f>
        <v>456.38299999999998</v>
      </c>
      <c r="D25" s="148">
        <f>C25/Wohnungen!$D$30</f>
        <v>0.33756139053254436</v>
      </c>
      <c r="E25" s="148">
        <f t="shared" si="0"/>
        <v>4.0507366863905325</v>
      </c>
    </row>
    <row r="26" spans="1:5">
      <c r="A26" s="140"/>
      <c r="B26" s="161"/>
      <c r="C26" s="166"/>
      <c r="D26" s="167"/>
      <c r="E26" s="148"/>
    </row>
    <row r="27" spans="1:5" ht="13.5" thickBot="1">
      <c r="A27" s="140"/>
      <c r="B27" s="161"/>
      <c r="C27" s="168">
        <f>C23+C25</f>
        <v>23275.532999999999</v>
      </c>
      <c r="D27" s="169">
        <f>C27/Wohnungen!$D$30</f>
        <v>17.215630917159764</v>
      </c>
      <c r="E27" s="148"/>
    </row>
    <row r="28" spans="1:5" ht="13.5" thickTop="1">
      <c r="A28" s="2"/>
      <c r="B28" s="27"/>
      <c r="C28" s="28"/>
      <c r="D28" s="3"/>
    </row>
    <row r="29" spans="1:5">
      <c r="A29" s="2"/>
      <c r="B29" s="27"/>
      <c r="C29" s="28"/>
      <c r="D29" s="3"/>
    </row>
    <row r="30" spans="1:5">
      <c r="A30" s="2"/>
      <c r="B30" s="27"/>
      <c r="C30" s="28"/>
      <c r="D30" s="3"/>
    </row>
    <row r="31" spans="1:5">
      <c r="A31" s="2"/>
      <c r="B31" s="27"/>
      <c r="C31" s="28"/>
      <c r="D31" s="1"/>
    </row>
    <row r="32" spans="1:5">
      <c r="A32" s="2"/>
      <c r="B32" s="27" t="s">
        <v>109</v>
      </c>
      <c r="C32" s="28"/>
      <c r="D32" s="1"/>
    </row>
    <row r="33" spans="1:4">
      <c r="A33" s="2"/>
      <c r="B33" s="27"/>
      <c r="C33" s="28"/>
      <c r="D33" s="1"/>
    </row>
  </sheetData>
  <pageMargins left="0.7" right="0.7" top="0.78740157499999996" bottom="0.78740157499999996"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10130-A0DE-4CA2-A90F-FD97FD9566F3}">
  <dimension ref="A1:H16"/>
  <sheetViews>
    <sheetView workbookViewId="0">
      <selection activeCell="I26" sqref="I26"/>
    </sheetView>
  </sheetViews>
  <sheetFormatPr baseColWidth="10" defaultRowHeight="12.75"/>
  <cols>
    <col min="2" max="2" width="19" customWidth="1"/>
    <col min="5" max="5" width="16.28515625" customWidth="1"/>
    <col min="8" max="8" width="16.5703125" customWidth="1"/>
  </cols>
  <sheetData>
    <row r="1" spans="1:8" ht="15.75">
      <c r="A1" s="170" t="s">
        <v>41</v>
      </c>
      <c r="B1" s="152"/>
      <c r="C1" s="152"/>
      <c r="D1" s="152"/>
      <c r="E1" s="152"/>
      <c r="F1" s="152"/>
    </row>
    <row r="2" spans="1:8" ht="15">
      <c r="A2" s="152"/>
      <c r="B2" s="171"/>
      <c r="C2" s="172" t="s">
        <v>17</v>
      </c>
      <c r="D2" s="171"/>
      <c r="E2" s="171"/>
      <c r="F2" s="171"/>
    </row>
    <row r="3" spans="1:8" ht="15">
      <c r="A3" s="152"/>
      <c r="B3" s="171" t="s">
        <v>110</v>
      </c>
      <c r="C3" s="173">
        <f>Eigenmittel_Förderung!D28</f>
        <v>627</v>
      </c>
      <c r="D3" s="174">
        <f>Eigenmittel_Förderung!E45</f>
        <v>6.8</v>
      </c>
      <c r="E3" s="175">
        <f>C3*D3</f>
        <v>4263.5999999999995</v>
      </c>
      <c r="F3" s="171" t="s">
        <v>43</v>
      </c>
    </row>
    <row r="4" spans="1:8" ht="15">
      <c r="A4" s="152"/>
      <c r="B4" s="171"/>
      <c r="C4" s="171"/>
      <c r="D4" s="171"/>
      <c r="E4" s="171"/>
      <c r="F4" s="171"/>
    </row>
    <row r="5" spans="1:8" ht="15">
      <c r="A5" s="152"/>
      <c r="B5" s="171"/>
      <c r="C5" s="171"/>
      <c r="D5" s="171"/>
      <c r="E5" s="175"/>
      <c r="F5" s="171"/>
    </row>
    <row r="6" spans="1:8" ht="15">
      <c r="A6" s="152"/>
      <c r="B6" s="171"/>
      <c r="C6" s="171"/>
      <c r="D6" s="171"/>
      <c r="E6" s="175"/>
      <c r="F6" s="171"/>
    </row>
    <row r="7" spans="1:8" ht="15">
      <c r="A7" s="152"/>
      <c r="B7" s="171" t="s">
        <v>111</v>
      </c>
      <c r="C7" s="173">
        <f>Eigenmittel_Förderung!D53</f>
        <v>314</v>
      </c>
      <c r="D7" s="176">
        <v>9</v>
      </c>
      <c r="E7" s="175">
        <f>C7*D7</f>
        <v>2826</v>
      </c>
      <c r="F7" s="171" t="s">
        <v>43</v>
      </c>
    </row>
    <row r="8" spans="1:8" ht="15">
      <c r="A8" s="152"/>
      <c r="B8" s="171"/>
      <c r="C8" s="171"/>
      <c r="D8" s="171"/>
      <c r="E8" s="175"/>
      <c r="F8" s="171"/>
    </row>
    <row r="9" spans="1:8" ht="15">
      <c r="A9" s="152"/>
      <c r="B9" s="171"/>
      <c r="C9" s="171"/>
      <c r="D9" s="171"/>
      <c r="E9" s="175"/>
      <c r="F9" s="171"/>
    </row>
    <row r="10" spans="1:8" ht="15">
      <c r="A10" s="152"/>
      <c r="B10" s="171"/>
      <c r="C10" s="171"/>
      <c r="D10" s="171"/>
      <c r="E10" s="171"/>
      <c r="F10" s="171"/>
      <c r="H10" s="20"/>
    </row>
    <row r="11" spans="1:8" ht="15">
      <c r="A11" s="152"/>
      <c r="B11" s="171"/>
      <c r="C11" s="171"/>
      <c r="D11" s="171"/>
      <c r="E11" s="171"/>
      <c r="F11" s="171"/>
    </row>
    <row r="12" spans="1:8" ht="15">
      <c r="A12" s="152"/>
      <c r="B12" s="171" t="s">
        <v>44</v>
      </c>
      <c r="C12" s="173">
        <f>C15-C7-C3</f>
        <v>411</v>
      </c>
      <c r="D12" s="175">
        <f>(E15-E3-E7)/C12</f>
        <v>39.381832116788324</v>
      </c>
      <c r="E12" s="175">
        <f>C12*D12</f>
        <v>16185.933000000001</v>
      </c>
      <c r="F12" s="171" t="s">
        <v>43</v>
      </c>
    </row>
    <row r="13" spans="1:8" ht="15">
      <c r="A13" s="152"/>
      <c r="B13" s="171"/>
      <c r="C13" s="171"/>
      <c r="D13" s="171"/>
      <c r="E13" s="171"/>
      <c r="F13" s="171"/>
    </row>
    <row r="14" spans="1:8" ht="15">
      <c r="A14" s="152"/>
      <c r="B14" s="171"/>
      <c r="C14" s="171"/>
      <c r="D14" s="171"/>
      <c r="E14" s="171"/>
      <c r="F14" s="171"/>
    </row>
    <row r="15" spans="1:8" ht="15.75">
      <c r="A15" s="152"/>
      <c r="B15" s="171" t="s">
        <v>120</v>
      </c>
      <c r="C15" s="173">
        <f>Wohnungen!D30</f>
        <v>1352</v>
      </c>
      <c r="D15" s="177">
        <f>'Mntl. Kosten'!D27</f>
        <v>17.215630917159764</v>
      </c>
      <c r="E15" s="174">
        <f>C15*D15</f>
        <v>23275.532999999999</v>
      </c>
      <c r="F15" s="171" t="s">
        <v>43</v>
      </c>
    </row>
    <row r="16" spans="1:8">
      <c r="A16" s="120"/>
      <c r="B16" s="178"/>
      <c r="C16" s="178"/>
      <c r="D16" s="178"/>
      <c r="E16" s="178"/>
      <c r="F16" s="178"/>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ABD49-8D50-4CF8-80A8-D30E906C59CD}">
  <dimension ref="A1:R40"/>
  <sheetViews>
    <sheetView topLeftCell="A17" workbookViewId="0">
      <selection activeCell="C27" sqref="C27"/>
    </sheetView>
  </sheetViews>
  <sheetFormatPr baseColWidth="10" defaultColWidth="11.42578125" defaultRowHeight="18"/>
  <cols>
    <col min="1" max="1" width="52.5703125" style="86" customWidth="1"/>
    <col min="2" max="2" width="37.5703125" style="85" customWidth="1"/>
    <col min="3" max="3" width="40.140625" style="101" customWidth="1"/>
    <col min="4" max="4" width="7.28515625" style="85" customWidth="1"/>
    <col min="5" max="5" width="28.28515625" style="86" customWidth="1"/>
    <col min="6" max="6" width="12.140625" style="85" customWidth="1"/>
    <col min="7" max="7" width="8" style="85" customWidth="1"/>
    <col min="8" max="8" width="6.85546875" style="85" customWidth="1"/>
    <col min="9" max="9" width="10.28515625" style="87" customWidth="1"/>
    <col min="10" max="10" width="14.42578125" style="88" customWidth="1"/>
    <col min="11" max="11" width="11.5703125" style="88" customWidth="1"/>
    <col min="12" max="12" width="11.7109375" style="88" customWidth="1"/>
    <col min="13" max="13" width="10.140625" style="88" customWidth="1"/>
    <col min="14" max="14" width="4.7109375" style="85" customWidth="1"/>
    <col min="15" max="18" width="12.140625" style="85" customWidth="1"/>
    <col min="19" max="16384" width="11.42578125" style="89"/>
  </cols>
  <sheetData>
    <row r="1" spans="1:18" s="81" customFormat="1" ht="30">
      <c r="A1" s="74" t="s">
        <v>14</v>
      </c>
      <c r="B1" s="75"/>
      <c r="C1" s="76"/>
      <c r="D1" s="77"/>
      <c r="E1" s="78"/>
      <c r="F1" s="77"/>
      <c r="G1" s="77"/>
      <c r="H1" s="77"/>
      <c r="I1" s="79"/>
      <c r="J1" s="80"/>
      <c r="K1" s="80"/>
      <c r="L1" s="80"/>
      <c r="M1" s="80"/>
      <c r="N1" s="77"/>
      <c r="O1" s="77"/>
      <c r="P1" s="77"/>
      <c r="Q1" s="77"/>
      <c r="R1" s="77"/>
    </row>
    <row r="2" spans="1:18">
      <c r="A2" s="82" t="s">
        <v>82</v>
      </c>
      <c r="B2" s="83"/>
      <c r="C2" s="84"/>
    </row>
    <row r="3" spans="1:18" ht="27">
      <c r="A3" s="90" t="s">
        <v>124</v>
      </c>
      <c r="B3" s="91" t="s">
        <v>83</v>
      </c>
      <c r="C3" s="190">
        <f>C17*720</f>
        <v>1144800</v>
      </c>
      <c r="D3" s="85" t="s">
        <v>84</v>
      </c>
    </row>
    <row r="4" spans="1:18">
      <c r="A4" s="98" t="s">
        <v>18</v>
      </c>
      <c r="B4" s="91"/>
      <c r="C4" s="92"/>
    </row>
    <row r="5" spans="1:18">
      <c r="A5" s="181" t="s">
        <v>121</v>
      </c>
      <c r="B5" s="182"/>
      <c r="C5" s="183">
        <v>0</v>
      </c>
    </row>
    <row r="6" spans="1:18">
      <c r="A6" s="93" t="s">
        <v>123</v>
      </c>
      <c r="B6" s="91"/>
      <c r="C6" s="179"/>
    </row>
    <row r="7" spans="1:18">
      <c r="A7" s="90" t="s">
        <v>122</v>
      </c>
      <c r="B7" s="91"/>
      <c r="C7" s="180">
        <v>0</v>
      </c>
      <c r="D7" s="85" t="s">
        <v>17</v>
      </c>
    </row>
    <row r="8" spans="1:18">
      <c r="A8" s="98" t="s">
        <v>18</v>
      </c>
      <c r="B8" s="91"/>
      <c r="C8" s="179"/>
    </row>
    <row r="9" spans="1:18">
      <c r="A9" s="184" t="s">
        <v>127</v>
      </c>
      <c r="B9" s="185"/>
      <c r="C9" s="186">
        <v>0</v>
      </c>
      <c r="D9" s="85" t="s">
        <v>17</v>
      </c>
    </row>
    <row r="10" spans="1:18">
      <c r="A10" s="187" t="s">
        <v>126</v>
      </c>
      <c r="B10" s="188"/>
      <c r="C10" s="191">
        <f>C5*C7*C9</f>
        <v>0</v>
      </c>
    </row>
    <row r="11" spans="1:18">
      <c r="A11" s="187"/>
      <c r="B11" s="188"/>
      <c r="C11" s="189"/>
    </row>
    <row r="12" spans="1:18">
      <c r="A12" s="90"/>
      <c r="B12" s="91"/>
      <c r="C12" s="180"/>
    </row>
    <row r="13" spans="1:18">
      <c r="A13" s="90" t="s">
        <v>125</v>
      </c>
      <c r="B13" s="91"/>
      <c r="C13" s="192">
        <f>C3+C10</f>
        <v>1144800</v>
      </c>
    </row>
    <row r="14" spans="1:18">
      <c r="A14" s="90"/>
      <c r="B14" s="91"/>
      <c r="C14" s="179"/>
    </row>
    <row r="15" spans="1:18">
      <c r="A15" s="90"/>
      <c r="B15" s="91"/>
      <c r="C15" s="92"/>
    </row>
    <row r="16" spans="1:18">
      <c r="A16" s="90" t="s">
        <v>85</v>
      </c>
      <c r="B16" s="93"/>
      <c r="C16" s="94"/>
    </row>
    <row r="17" spans="1:5">
      <c r="A17" s="90" t="s">
        <v>86</v>
      </c>
      <c r="B17" s="93" t="s">
        <v>87</v>
      </c>
      <c r="C17" s="95">
        <v>1590</v>
      </c>
      <c r="D17" s="85" t="s">
        <v>17</v>
      </c>
    </row>
    <row r="18" spans="1:5">
      <c r="A18" s="90"/>
      <c r="B18" s="93"/>
      <c r="C18" s="95"/>
    </row>
    <row r="19" spans="1:5">
      <c r="A19" s="90"/>
      <c r="B19" s="93" t="s">
        <v>88</v>
      </c>
      <c r="C19" s="96">
        <v>4700</v>
      </c>
      <c r="D19" s="85" t="s">
        <v>84</v>
      </c>
    </row>
    <row r="20" spans="1:5">
      <c r="A20" s="90"/>
      <c r="B20" s="93" t="s">
        <v>89</v>
      </c>
      <c r="C20" s="97">
        <f>C17*0.85</f>
        <v>1351.5</v>
      </c>
      <c r="D20" s="85" t="s">
        <v>17</v>
      </c>
    </row>
    <row r="21" spans="1:5">
      <c r="A21" s="90"/>
      <c r="B21" s="93" t="s">
        <v>90</v>
      </c>
      <c r="C21" s="195">
        <f>C20*C19</f>
        <v>6352050</v>
      </c>
    </row>
    <row r="22" spans="1:5">
      <c r="A22" s="90"/>
      <c r="B22" s="93"/>
      <c r="C22" s="97"/>
    </row>
    <row r="23" spans="1:5">
      <c r="A23" s="98" t="s">
        <v>18</v>
      </c>
      <c r="B23" s="93"/>
      <c r="C23" s="99"/>
    </row>
    <row r="24" spans="1:5">
      <c r="A24" s="90" t="s">
        <v>91</v>
      </c>
      <c r="B24" s="93"/>
      <c r="C24" s="194">
        <v>0</v>
      </c>
    </row>
    <row r="25" spans="1:5">
      <c r="A25" s="90"/>
      <c r="B25" s="93"/>
      <c r="C25" s="99"/>
    </row>
    <row r="26" spans="1:5">
      <c r="A26" s="111" t="s">
        <v>92</v>
      </c>
      <c r="B26" s="112"/>
      <c r="C26" s="193">
        <f>C21+C3</f>
        <v>7496850</v>
      </c>
    </row>
    <row r="27" spans="1:5">
      <c r="A27" s="93" t="s">
        <v>34</v>
      </c>
      <c r="B27" s="93"/>
      <c r="C27" s="97">
        <v>23</v>
      </c>
    </row>
    <row r="28" spans="1:5">
      <c r="A28" s="89"/>
      <c r="B28" s="89"/>
      <c r="C28" s="89"/>
    </row>
    <row r="29" spans="1:5">
      <c r="A29" s="100" t="s">
        <v>16</v>
      </c>
    </row>
    <row r="30" spans="1:5">
      <c r="A30" s="102" t="s">
        <v>15</v>
      </c>
      <c r="B30" s="103">
        <v>5.5E-2</v>
      </c>
      <c r="C30" s="104">
        <f>720*400*0.055</f>
        <v>15840</v>
      </c>
      <c r="E30" s="86" t="s">
        <v>93</v>
      </c>
    </row>
    <row r="31" spans="1:5">
      <c r="A31" s="102" t="s">
        <v>31</v>
      </c>
      <c r="B31" s="105">
        <v>0.04</v>
      </c>
      <c r="C31" s="104"/>
    </row>
    <row r="32" spans="1:5">
      <c r="A32" s="102" t="s">
        <v>32</v>
      </c>
      <c r="B32" s="105">
        <v>2.5000000000000001E-2</v>
      </c>
      <c r="C32" s="104">
        <f>C3*B32</f>
        <v>28620</v>
      </c>
    </row>
    <row r="33" spans="1:3">
      <c r="A33" s="106" t="s">
        <v>18</v>
      </c>
      <c r="B33" s="105"/>
      <c r="C33" s="107"/>
    </row>
    <row r="34" spans="1:3">
      <c r="A34" s="102" t="s">
        <v>94</v>
      </c>
      <c r="B34" s="108"/>
      <c r="C34" s="104"/>
    </row>
    <row r="36" spans="1:3">
      <c r="A36" s="111" t="s">
        <v>95</v>
      </c>
      <c r="B36" s="112"/>
      <c r="C36" s="113">
        <f>SUM(C26,C30,C31,C32,C34)</f>
        <v>7541310</v>
      </c>
    </row>
    <row r="37" spans="1:3">
      <c r="A37" s="114" t="s">
        <v>11</v>
      </c>
      <c r="B37" s="115">
        <v>0.1</v>
      </c>
      <c r="C37" s="116">
        <f>C36*B37</f>
        <v>754131</v>
      </c>
    </row>
    <row r="38" spans="1:3" ht="18.75" thickBot="1">
      <c r="A38" s="117" t="s">
        <v>12</v>
      </c>
      <c r="B38" s="118"/>
      <c r="C38" s="119">
        <f>SUM(C36,C37)</f>
        <v>8295441</v>
      </c>
    </row>
    <row r="39" spans="1:3" ht="18.75" thickTop="1">
      <c r="A39" s="111"/>
      <c r="B39" s="112"/>
      <c r="C39" s="113"/>
    </row>
    <row r="40" spans="1:3">
      <c r="A40" s="111"/>
      <c r="B40" s="112" t="s">
        <v>96</v>
      </c>
      <c r="C40" s="113">
        <f>C38/C20</f>
        <v>6137.9511653718091</v>
      </c>
    </row>
  </sheetData>
  <pageMargins left="0" right="0" top="0.39370078740157483" bottom="0.39370078740157483" header="0" footer="0"/>
  <headerFooter>
    <oddHeader>&amp;C&amp;A</oddHeader>
    <oddFooter>&amp;CSeite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FF55-5C70-4E44-96C0-DF287BFD4B15}">
  <dimension ref="A1:N37"/>
  <sheetViews>
    <sheetView topLeftCell="A3" workbookViewId="0">
      <selection activeCell="E4" sqref="E4:E26"/>
    </sheetView>
  </sheetViews>
  <sheetFormatPr baseColWidth="10" defaultRowHeight="12.75"/>
  <cols>
    <col min="2" max="2" width="20" customWidth="1"/>
    <col min="4" max="4" width="14.42578125" customWidth="1"/>
    <col min="5" max="5" width="18" customWidth="1"/>
  </cols>
  <sheetData>
    <row r="1" spans="1:14">
      <c r="B1" t="s">
        <v>54</v>
      </c>
    </row>
    <row r="3" spans="1:14" ht="25.5">
      <c r="C3" t="s">
        <v>36</v>
      </c>
      <c r="D3" t="s">
        <v>37</v>
      </c>
      <c r="E3" s="31" t="s">
        <v>56</v>
      </c>
      <c r="F3" t="s">
        <v>2</v>
      </c>
      <c r="H3" t="s">
        <v>57</v>
      </c>
      <c r="K3" t="s">
        <v>99</v>
      </c>
      <c r="M3" t="s">
        <v>102</v>
      </c>
    </row>
    <row r="4" spans="1:14" ht="17.25">
      <c r="A4">
        <v>1</v>
      </c>
      <c r="C4" s="19">
        <v>5</v>
      </c>
      <c r="D4">
        <v>120</v>
      </c>
      <c r="E4" s="30">
        <f>$D$27/($D$30-$D$27)*D4</f>
        <v>3.6585365853658534</v>
      </c>
      <c r="F4" s="23">
        <f>D4+E4</f>
        <v>123.65853658536585</v>
      </c>
      <c r="H4">
        <f>D4</f>
        <v>120</v>
      </c>
      <c r="K4" s="71">
        <f>LARGE($H$4:$H$26,1)</f>
        <v>120</v>
      </c>
      <c r="L4" s="72">
        <v>6.8</v>
      </c>
    </row>
    <row r="5" spans="1:14" ht="17.25">
      <c r="A5">
        <v>2</v>
      </c>
      <c r="C5">
        <v>5</v>
      </c>
      <c r="D5">
        <v>120</v>
      </c>
      <c r="E5" s="30">
        <f t="shared" ref="E5:E26" si="0">$D$27/($D$30-$D$27)*D5</f>
        <v>3.6585365853658534</v>
      </c>
      <c r="F5" s="23">
        <f t="shared" ref="F5:F26" si="1">D5+E5</f>
        <v>123.65853658536585</v>
      </c>
      <c r="H5">
        <f t="shared" ref="H5:H27" si="2">D5</f>
        <v>120</v>
      </c>
      <c r="K5" s="71">
        <f>LARGE($H$4:$H$26,2)</f>
        <v>120</v>
      </c>
      <c r="L5" s="72">
        <v>6.8</v>
      </c>
    </row>
    <row r="6" spans="1:14" ht="17.25">
      <c r="A6">
        <v>3</v>
      </c>
      <c r="C6">
        <v>5</v>
      </c>
      <c r="D6">
        <v>120</v>
      </c>
      <c r="E6" s="30">
        <f t="shared" si="0"/>
        <v>3.6585365853658534</v>
      </c>
      <c r="F6" s="23">
        <f t="shared" si="1"/>
        <v>123.65853658536585</v>
      </c>
      <c r="H6">
        <f t="shared" si="2"/>
        <v>120</v>
      </c>
      <c r="K6" s="71">
        <f t="shared" ref="K6" si="3">LARGE($H$4:$H$26,3)</f>
        <v>120</v>
      </c>
      <c r="L6" s="72">
        <v>6.8</v>
      </c>
    </row>
    <row r="7" spans="1:14" ht="17.25">
      <c r="A7">
        <v>4</v>
      </c>
      <c r="C7">
        <v>4</v>
      </c>
      <c r="D7">
        <v>100</v>
      </c>
      <c r="E7" s="30">
        <f t="shared" si="0"/>
        <v>3.0487804878048781</v>
      </c>
      <c r="F7" s="23">
        <f t="shared" si="1"/>
        <v>103.04878048780488</v>
      </c>
      <c r="H7">
        <f t="shared" si="2"/>
        <v>100</v>
      </c>
      <c r="K7" s="71">
        <f>LARGE($H$4:$H$26,4)</f>
        <v>106</v>
      </c>
      <c r="L7" s="72">
        <v>6.8</v>
      </c>
    </row>
    <row r="8" spans="1:14" ht="17.25">
      <c r="A8">
        <v>5</v>
      </c>
      <c r="C8">
        <v>4</v>
      </c>
      <c r="D8">
        <v>106</v>
      </c>
      <c r="E8" s="30">
        <f t="shared" si="0"/>
        <v>3.2317073170731705</v>
      </c>
      <c r="F8" s="23">
        <f t="shared" si="1"/>
        <v>109.23170731707317</v>
      </c>
      <c r="H8">
        <f t="shared" si="2"/>
        <v>106</v>
      </c>
      <c r="K8" s="71">
        <f>LARGE($H$4:$H$26,5)</f>
        <v>100</v>
      </c>
      <c r="L8" s="72">
        <v>6.8</v>
      </c>
    </row>
    <row r="9" spans="1:14" ht="17.25">
      <c r="A9">
        <v>6</v>
      </c>
      <c r="C9">
        <v>3</v>
      </c>
      <c r="D9">
        <v>61</v>
      </c>
      <c r="E9" s="30">
        <f t="shared" si="0"/>
        <v>1.8597560975609755</v>
      </c>
      <c r="F9" s="23">
        <f t="shared" si="1"/>
        <v>62.859756097560975</v>
      </c>
      <c r="H9">
        <f t="shared" si="2"/>
        <v>61</v>
      </c>
      <c r="K9" s="71">
        <f>LARGE($H$4:$H$26,6)</f>
        <v>61</v>
      </c>
      <c r="L9" s="72">
        <v>6.8</v>
      </c>
      <c r="M9">
        <v>6</v>
      </c>
      <c r="N9">
        <f>SUM(K4:K9)</f>
        <v>627</v>
      </c>
    </row>
    <row r="10" spans="1:14" ht="17.25">
      <c r="A10">
        <v>7</v>
      </c>
      <c r="C10">
        <v>3</v>
      </c>
      <c r="D10">
        <v>61</v>
      </c>
      <c r="E10" s="30">
        <f t="shared" si="0"/>
        <v>1.8597560975609755</v>
      </c>
      <c r="F10" s="23">
        <f t="shared" si="1"/>
        <v>62.859756097560975</v>
      </c>
      <c r="H10">
        <f t="shared" si="2"/>
        <v>61</v>
      </c>
      <c r="K10" s="69">
        <f>LARGE($H$4:$H$26,7)</f>
        <v>61</v>
      </c>
      <c r="L10" s="70">
        <v>9</v>
      </c>
    </row>
    <row r="11" spans="1:14" ht="17.25">
      <c r="A11">
        <v>8</v>
      </c>
      <c r="C11">
        <v>3</v>
      </c>
      <c r="D11">
        <v>61</v>
      </c>
      <c r="E11" s="30">
        <f t="shared" si="0"/>
        <v>1.8597560975609755</v>
      </c>
      <c r="F11" s="23">
        <f t="shared" si="1"/>
        <v>62.859756097560975</v>
      </c>
      <c r="H11">
        <f t="shared" si="2"/>
        <v>61</v>
      </c>
      <c r="K11" s="69">
        <f>LARGE($H$4:$H$26,8)</f>
        <v>61</v>
      </c>
      <c r="L11" s="70">
        <v>9</v>
      </c>
    </row>
    <row r="12" spans="1:14" ht="17.25">
      <c r="A12">
        <v>9</v>
      </c>
      <c r="C12">
        <v>2</v>
      </c>
      <c r="D12">
        <v>48</v>
      </c>
      <c r="E12" s="30">
        <f t="shared" si="0"/>
        <v>1.4634146341463414</v>
      </c>
      <c r="F12" s="23">
        <f t="shared" si="1"/>
        <v>49.463414634146339</v>
      </c>
      <c r="H12">
        <f t="shared" si="2"/>
        <v>48</v>
      </c>
      <c r="K12" s="69">
        <f>LARGE($H$4:$H$26,9)</f>
        <v>48</v>
      </c>
      <c r="L12" s="70">
        <v>9</v>
      </c>
    </row>
    <row r="13" spans="1:14" ht="17.25">
      <c r="A13">
        <v>10</v>
      </c>
      <c r="C13">
        <v>2</v>
      </c>
      <c r="D13">
        <v>48</v>
      </c>
      <c r="E13" s="30">
        <f t="shared" si="0"/>
        <v>1.4634146341463414</v>
      </c>
      <c r="F13" s="23">
        <f t="shared" si="1"/>
        <v>49.463414634146339</v>
      </c>
      <c r="H13">
        <f t="shared" si="2"/>
        <v>48</v>
      </c>
      <c r="K13" s="69">
        <f>LARGE($H$4:$H$26,10)</f>
        <v>48</v>
      </c>
      <c r="L13" s="70">
        <v>9</v>
      </c>
    </row>
    <row r="14" spans="1:14" ht="17.25">
      <c r="A14">
        <v>11</v>
      </c>
      <c r="C14">
        <v>2</v>
      </c>
      <c r="D14">
        <v>48</v>
      </c>
      <c r="E14" s="30">
        <f t="shared" si="0"/>
        <v>1.4634146341463414</v>
      </c>
      <c r="F14" s="23">
        <f t="shared" si="1"/>
        <v>49.463414634146339</v>
      </c>
      <c r="H14">
        <f t="shared" si="2"/>
        <v>48</v>
      </c>
      <c r="K14" s="69">
        <f>LARGE($H$4:$H$26,11)</f>
        <v>48</v>
      </c>
      <c r="L14" s="70">
        <v>9</v>
      </c>
    </row>
    <row r="15" spans="1:14" ht="17.25">
      <c r="A15">
        <v>12</v>
      </c>
      <c r="C15">
        <v>2</v>
      </c>
      <c r="D15">
        <v>48</v>
      </c>
      <c r="E15" s="30">
        <f t="shared" si="0"/>
        <v>1.4634146341463414</v>
      </c>
      <c r="F15" s="23">
        <f t="shared" si="1"/>
        <v>49.463414634146339</v>
      </c>
      <c r="H15">
        <f t="shared" si="2"/>
        <v>48</v>
      </c>
      <c r="K15" s="69">
        <f>LARGE($H$4:$H$26,12)</f>
        <v>48</v>
      </c>
      <c r="L15" s="70">
        <v>9</v>
      </c>
      <c r="M15">
        <v>6</v>
      </c>
      <c r="N15">
        <f>SUM(K10:K15)</f>
        <v>314</v>
      </c>
    </row>
    <row r="16" spans="1:14" ht="17.25">
      <c r="A16">
        <v>13</v>
      </c>
      <c r="C16">
        <v>2</v>
      </c>
      <c r="D16">
        <v>48</v>
      </c>
      <c r="E16" s="30">
        <f t="shared" si="0"/>
        <v>1.4634146341463414</v>
      </c>
      <c r="F16" s="23">
        <f t="shared" si="1"/>
        <v>49.463414634146339</v>
      </c>
      <c r="H16">
        <f t="shared" si="2"/>
        <v>48</v>
      </c>
      <c r="K16" s="68">
        <f>LARGE($H$4:$H$26,13)</f>
        <v>48</v>
      </c>
    </row>
    <row r="17" spans="1:14" ht="17.25">
      <c r="A17">
        <v>14</v>
      </c>
      <c r="C17">
        <v>2</v>
      </c>
      <c r="D17">
        <v>48</v>
      </c>
      <c r="E17" s="30">
        <f t="shared" si="0"/>
        <v>1.4634146341463414</v>
      </c>
      <c r="F17" s="23">
        <f t="shared" si="1"/>
        <v>49.463414634146339</v>
      </c>
      <c r="H17">
        <f t="shared" si="2"/>
        <v>48</v>
      </c>
      <c r="K17" s="68">
        <f>LARGE($H$4:$H$26,14)</f>
        <v>48</v>
      </c>
    </row>
    <row r="18" spans="1:14" ht="17.25">
      <c r="A18">
        <v>15</v>
      </c>
      <c r="C18">
        <v>1</v>
      </c>
      <c r="D18">
        <v>35</v>
      </c>
      <c r="E18" s="30">
        <f t="shared" si="0"/>
        <v>1.0670731707317074</v>
      </c>
      <c r="F18" s="23">
        <f t="shared" si="1"/>
        <v>36.06707317073171</v>
      </c>
      <c r="H18">
        <f t="shared" si="2"/>
        <v>35</v>
      </c>
      <c r="K18" s="68">
        <f>LARGE($H$4:$H$26,15)</f>
        <v>35</v>
      </c>
    </row>
    <row r="19" spans="1:14" ht="17.25">
      <c r="A19">
        <v>16</v>
      </c>
      <c r="C19">
        <v>1</v>
      </c>
      <c r="D19">
        <v>30</v>
      </c>
      <c r="E19" s="30">
        <f t="shared" si="0"/>
        <v>0.91463414634146334</v>
      </c>
      <c r="F19" s="23">
        <f t="shared" si="1"/>
        <v>30.914634146341463</v>
      </c>
      <c r="H19">
        <f t="shared" si="2"/>
        <v>30</v>
      </c>
      <c r="K19" s="68">
        <f>LARGE($H$4:$H$26,16)</f>
        <v>30</v>
      </c>
    </row>
    <row r="20" spans="1:14" ht="17.25">
      <c r="A20">
        <v>17</v>
      </c>
      <c r="C20">
        <v>1</v>
      </c>
      <c r="D20">
        <v>30</v>
      </c>
      <c r="E20" s="30">
        <f t="shared" si="0"/>
        <v>0.91463414634146334</v>
      </c>
      <c r="F20" s="23">
        <f t="shared" si="1"/>
        <v>30.914634146341463</v>
      </c>
      <c r="H20">
        <f t="shared" si="2"/>
        <v>30</v>
      </c>
      <c r="K20" s="68">
        <f>LARGE($H$4:$H$26,17)</f>
        <v>30</v>
      </c>
    </row>
    <row r="21" spans="1:14" ht="17.25">
      <c r="A21">
        <v>18</v>
      </c>
      <c r="C21">
        <v>1</v>
      </c>
      <c r="D21">
        <v>30</v>
      </c>
      <c r="E21" s="30">
        <f t="shared" si="0"/>
        <v>0.91463414634146334</v>
      </c>
      <c r="F21" s="23">
        <f t="shared" si="1"/>
        <v>30.914634146341463</v>
      </c>
      <c r="H21">
        <f t="shared" si="2"/>
        <v>30</v>
      </c>
      <c r="K21" s="68">
        <f>LARGE($H$4:$H$26,18)</f>
        <v>30</v>
      </c>
    </row>
    <row r="22" spans="1:14" ht="17.25">
      <c r="A22">
        <v>19</v>
      </c>
      <c r="C22">
        <v>1</v>
      </c>
      <c r="D22">
        <v>30</v>
      </c>
      <c r="E22" s="30">
        <f t="shared" si="0"/>
        <v>0.91463414634146334</v>
      </c>
      <c r="F22" s="23">
        <f t="shared" si="1"/>
        <v>30.914634146341463</v>
      </c>
      <c r="H22">
        <f t="shared" si="2"/>
        <v>30</v>
      </c>
      <c r="K22" s="68">
        <f>LARGE($H$4:$H$26,19)</f>
        <v>30</v>
      </c>
    </row>
    <row r="23" spans="1:14" ht="17.25">
      <c r="A23">
        <v>20</v>
      </c>
      <c r="C23">
        <v>1</v>
      </c>
      <c r="D23">
        <v>30</v>
      </c>
      <c r="E23" s="30">
        <f t="shared" si="0"/>
        <v>0.91463414634146334</v>
      </c>
      <c r="F23" s="23">
        <f t="shared" si="1"/>
        <v>30.914634146341463</v>
      </c>
      <c r="H23">
        <f t="shared" si="2"/>
        <v>30</v>
      </c>
      <c r="K23" s="68">
        <f>LARGE($H$4:$H$26,20)</f>
        <v>30</v>
      </c>
    </row>
    <row r="24" spans="1:14" ht="17.25">
      <c r="A24">
        <v>21</v>
      </c>
      <c r="C24">
        <v>1</v>
      </c>
      <c r="D24">
        <v>30</v>
      </c>
      <c r="E24" s="30">
        <f t="shared" si="0"/>
        <v>0.91463414634146334</v>
      </c>
      <c r="F24" s="23">
        <f t="shared" si="1"/>
        <v>30.914634146341463</v>
      </c>
      <c r="H24">
        <f t="shared" si="2"/>
        <v>30</v>
      </c>
      <c r="K24" s="68">
        <f>LARGE($H$4:$H$26,21)</f>
        <v>30</v>
      </c>
    </row>
    <row r="25" spans="1:14" ht="17.25">
      <c r="A25">
        <v>22</v>
      </c>
      <c r="C25">
        <v>1</v>
      </c>
      <c r="D25">
        <v>30</v>
      </c>
      <c r="E25" s="30">
        <f t="shared" si="0"/>
        <v>0.91463414634146334</v>
      </c>
      <c r="F25" s="23">
        <f t="shared" si="1"/>
        <v>30.914634146341463</v>
      </c>
      <c r="H25">
        <f t="shared" si="2"/>
        <v>30</v>
      </c>
      <c r="K25" s="68">
        <f>LARGE($H$4:$H$26,22)</f>
        <v>30</v>
      </c>
    </row>
    <row r="26" spans="1:14" ht="17.25">
      <c r="A26">
        <v>23</v>
      </c>
      <c r="C26">
        <v>1</v>
      </c>
      <c r="D26">
        <v>30</v>
      </c>
      <c r="E26" s="30">
        <f t="shared" si="0"/>
        <v>0.91463414634146334</v>
      </c>
      <c r="F26" s="23">
        <f t="shared" si="1"/>
        <v>30.914634146341463</v>
      </c>
      <c r="H26">
        <f t="shared" si="2"/>
        <v>30</v>
      </c>
      <c r="K26" s="68">
        <f>LARGE($H$4:$H$26,23)</f>
        <v>30</v>
      </c>
      <c r="M26">
        <f>A26-M9-M15</f>
        <v>11</v>
      </c>
      <c r="N26">
        <f>SUM(K16:K26)</f>
        <v>371</v>
      </c>
    </row>
    <row r="27" spans="1:14" ht="17.25">
      <c r="B27" s="29" t="s">
        <v>55</v>
      </c>
      <c r="C27" s="29">
        <v>1</v>
      </c>
      <c r="D27" s="29">
        <v>40</v>
      </c>
      <c r="H27">
        <f t="shared" si="2"/>
        <v>40</v>
      </c>
      <c r="K27" s="68"/>
    </row>
    <row r="30" spans="1:14">
      <c r="C30" s="120">
        <f>SUM(C4:C29)</f>
        <v>54</v>
      </c>
      <c r="D30" s="121">
        <f>SUM(D4:D29)</f>
        <v>1352</v>
      </c>
      <c r="E30" s="121">
        <f t="shared" ref="E30:F30" si="4">SUM(E4:E29)</f>
        <v>40</v>
      </c>
      <c r="F30" s="121">
        <f t="shared" si="4"/>
        <v>1352.0000000000007</v>
      </c>
    </row>
    <row r="31" spans="1:14">
      <c r="D31">
        <v>1352</v>
      </c>
    </row>
    <row r="33" spans="2:4">
      <c r="C33" t="s">
        <v>42</v>
      </c>
      <c r="D33" s="23">
        <f>Eigenmittel_Förderung!D28</f>
        <v>627</v>
      </c>
    </row>
    <row r="35" spans="2:4">
      <c r="C35" t="s">
        <v>44</v>
      </c>
      <c r="D35" s="23">
        <f>D30-D33</f>
        <v>725</v>
      </c>
    </row>
    <row r="37" spans="2:4">
      <c r="B37" t="s">
        <v>34</v>
      </c>
      <c r="C37" s="120">
        <f>COUNT(A4:A26)</f>
        <v>23</v>
      </c>
    </row>
  </sheetData>
  <conditionalFormatting sqref="H4:H27">
    <cfRule type="colorScale" priority="1">
      <colorScale>
        <cfvo type="min"/>
        <cfvo type="percentile" val="50"/>
        <cfvo type="max"/>
        <color rgb="FF63BE7B"/>
        <color rgb="FFFFEB84"/>
        <color rgb="FFF8696B"/>
      </colorScale>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6126D-EB41-443C-8CBD-EF2D5038B225}">
  <dimension ref="A4:T84"/>
  <sheetViews>
    <sheetView topLeftCell="A16" workbookViewId="0">
      <selection activeCell="B20" sqref="B20"/>
    </sheetView>
  </sheetViews>
  <sheetFormatPr baseColWidth="10" defaultRowHeight="12.75"/>
  <cols>
    <col min="2" max="2" width="31" customWidth="1"/>
    <col min="3" max="4" width="28.7109375" customWidth="1"/>
    <col min="5" max="5" width="36.28515625" customWidth="1"/>
  </cols>
  <sheetData>
    <row r="4" spans="2:20" s="9" customFormat="1" ht="18">
      <c r="B4" s="14" t="s">
        <v>33</v>
      </c>
      <c r="C4" s="15">
        <v>0.2</v>
      </c>
      <c r="D4" s="15"/>
      <c r="E4" s="16">
        <f>'Investition Neubau'!C38*C4</f>
        <v>1659088.2000000002</v>
      </c>
      <c r="F4" s="5"/>
      <c r="G4" s="6"/>
      <c r="H4" s="5"/>
      <c r="I4" s="5"/>
      <c r="J4" s="5"/>
      <c r="K4" s="7"/>
      <c r="L4" s="8"/>
      <c r="M4" s="8"/>
      <c r="N4" s="8"/>
      <c r="O4" s="8"/>
      <c r="P4" s="5"/>
      <c r="Q4" s="5"/>
      <c r="R4" s="5"/>
      <c r="S4" s="5"/>
      <c r="T4" s="5"/>
    </row>
    <row r="5" spans="2:20" s="9" customFormat="1" ht="18">
      <c r="B5" s="14"/>
      <c r="C5" s="15" t="s">
        <v>19</v>
      </c>
      <c r="D5" s="15"/>
      <c r="E5" s="16">
        <f>E4/Wohnungen!D30</f>
        <v>1227.1362426035505</v>
      </c>
      <c r="F5" s="5"/>
      <c r="G5" s="6"/>
      <c r="H5" s="5"/>
      <c r="I5" s="5"/>
      <c r="J5" s="5"/>
      <c r="K5" s="7"/>
      <c r="L5" s="8"/>
      <c r="M5" s="8"/>
      <c r="N5" s="8"/>
      <c r="O5" s="8"/>
      <c r="P5" s="5"/>
      <c r="Q5" s="5"/>
      <c r="R5" s="5"/>
      <c r="S5" s="5"/>
      <c r="T5" s="5"/>
    </row>
    <row r="6" spans="2:20" s="9" customFormat="1" ht="18">
      <c r="B6" s="14"/>
      <c r="C6" s="15"/>
      <c r="D6" s="15"/>
      <c r="E6" s="16"/>
      <c r="F6" s="5"/>
      <c r="G6" s="6"/>
      <c r="H6" s="5"/>
      <c r="I6" s="5"/>
      <c r="J6" s="5"/>
      <c r="K6" s="7"/>
      <c r="L6" s="8"/>
      <c r="M6" s="8"/>
      <c r="N6" s="8"/>
      <c r="O6" s="8"/>
      <c r="P6" s="5"/>
      <c r="Q6" s="5"/>
      <c r="R6" s="5"/>
      <c r="S6" s="5"/>
      <c r="T6" s="5"/>
    </row>
    <row r="7" spans="2:20" s="9" customFormat="1" ht="18">
      <c r="B7" s="15" t="s">
        <v>20</v>
      </c>
      <c r="C7" s="17">
        <v>0</v>
      </c>
      <c r="D7" s="16">
        <v>1500</v>
      </c>
      <c r="E7" s="73">
        <f>Wohnungen!D30*D7</f>
        <v>2028000</v>
      </c>
      <c r="F7" s="5" t="s">
        <v>53</v>
      </c>
      <c r="G7" s="6"/>
      <c r="H7" s="5"/>
      <c r="I7" s="5"/>
      <c r="J7" s="5"/>
      <c r="K7" s="7"/>
      <c r="L7" s="8"/>
      <c r="M7" s="8"/>
      <c r="N7" s="8"/>
      <c r="O7" s="8"/>
      <c r="P7" s="5"/>
      <c r="Q7" s="5"/>
      <c r="R7" s="5"/>
      <c r="S7" s="5"/>
      <c r="T7" s="5"/>
    </row>
    <row r="8" spans="2:20" s="9" customFormat="1" ht="18">
      <c r="B8" s="15" t="s">
        <v>21</v>
      </c>
      <c r="C8" s="17">
        <v>0.01</v>
      </c>
      <c r="D8" s="16">
        <v>25000</v>
      </c>
      <c r="E8" s="16">
        <v>150000</v>
      </c>
      <c r="F8" s="5" t="s">
        <v>38</v>
      </c>
      <c r="G8" s="6"/>
      <c r="H8" s="5"/>
      <c r="I8" s="5"/>
      <c r="J8" s="5"/>
      <c r="K8" s="7"/>
      <c r="L8" s="8"/>
      <c r="M8" s="8"/>
      <c r="N8" s="8"/>
      <c r="O8" s="8"/>
      <c r="P8" s="5"/>
      <c r="Q8" s="5"/>
      <c r="R8" s="5"/>
      <c r="S8" s="5"/>
      <c r="T8" s="5"/>
    </row>
    <row r="9" spans="2:20" s="9" customFormat="1" ht="18">
      <c r="B9" s="15" t="s">
        <v>21</v>
      </c>
      <c r="C9" s="17"/>
      <c r="D9" s="17"/>
      <c r="E9" s="16"/>
      <c r="F9" s="5"/>
      <c r="G9" s="6"/>
      <c r="H9" s="5"/>
      <c r="I9" s="5"/>
      <c r="J9" s="5"/>
      <c r="K9" s="7"/>
      <c r="L9" s="8"/>
      <c r="M9" s="8"/>
      <c r="N9" s="8"/>
      <c r="O9" s="8"/>
      <c r="P9" s="5"/>
      <c r="Q9" s="5"/>
      <c r="R9" s="5"/>
      <c r="S9" s="5"/>
      <c r="T9" s="5"/>
    </row>
    <row r="10" spans="2:20" s="9" customFormat="1" ht="18">
      <c r="B10" s="122" t="s">
        <v>30</v>
      </c>
      <c r="C10" s="123"/>
      <c r="D10" s="123"/>
      <c r="E10" s="124">
        <f>E8*0.01/12</f>
        <v>125</v>
      </c>
      <c r="F10" s="5"/>
      <c r="G10" s="6"/>
      <c r="H10" s="5"/>
      <c r="I10" s="5"/>
      <c r="J10" s="5"/>
      <c r="K10" s="7"/>
      <c r="L10" s="8"/>
      <c r="M10" s="8"/>
      <c r="N10" s="8"/>
      <c r="O10" s="8"/>
      <c r="P10" s="5"/>
      <c r="Q10" s="5"/>
      <c r="R10" s="5"/>
      <c r="S10" s="5"/>
      <c r="T10" s="5"/>
    </row>
    <row r="11" spans="2:20" s="9" customFormat="1" ht="18">
      <c r="B11" s="125" t="s">
        <v>29</v>
      </c>
      <c r="C11" s="126"/>
      <c r="D11" s="126"/>
      <c r="E11" s="127">
        <f>E10*12</f>
        <v>1500</v>
      </c>
      <c r="F11" s="5"/>
      <c r="G11" s="6"/>
      <c r="H11" s="5"/>
      <c r="I11" s="5"/>
      <c r="J11" s="5"/>
      <c r="K11" s="7"/>
      <c r="L11" s="8"/>
      <c r="M11" s="8"/>
      <c r="N11" s="8"/>
      <c r="O11" s="8"/>
      <c r="P11" s="5"/>
      <c r="Q11" s="5"/>
      <c r="R11" s="5"/>
      <c r="S11" s="5"/>
      <c r="T11" s="5"/>
    </row>
    <row r="12" spans="2:20" s="9" customFormat="1" ht="18">
      <c r="B12" s="122"/>
      <c r="C12" s="123"/>
      <c r="D12" s="123"/>
      <c r="E12" s="124"/>
      <c r="F12" s="5"/>
      <c r="G12" s="6"/>
      <c r="H12" s="5"/>
      <c r="I12" s="5"/>
      <c r="J12" s="5"/>
      <c r="K12" s="7"/>
      <c r="L12" s="8"/>
      <c r="M12" s="8"/>
      <c r="N12" s="8"/>
      <c r="O12" s="8"/>
      <c r="P12" s="5"/>
      <c r="Q12" s="5"/>
      <c r="R12" s="5"/>
      <c r="S12" s="5"/>
      <c r="T12" s="5"/>
    </row>
    <row r="13" spans="2:20" s="9" customFormat="1" ht="18">
      <c r="B13" s="122"/>
      <c r="C13" s="123"/>
      <c r="D13" s="123"/>
      <c r="E13" s="128">
        <f>SUM(E7:E9)</f>
        <v>2178000</v>
      </c>
      <c r="F13" s="5"/>
      <c r="G13" s="6"/>
      <c r="H13" s="5"/>
      <c r="I13" s="5"/>
      <c r="J13" s="5"/>
      <c r="K13" s="7"/>
      <c r="L13" s="8"/>
      <c r="M13" s="8"/>
      <c r="N13" s="8"/>
      <c r="O13" s="8"/>
      <c r="P13" s="5"/>
      <c r="Q13" s="5"/>
      <c r="R13" s="5"/>
      <c r="S13" s="5"/>
      <c r="T13" s="5"/>
    </row>
    <row r="14" spans="2:20" s="9" customFormat="1" ht="18">
      <c r="B14" s="122" t="s">
        <v>61</v>
      </c>
      <c r="C14" s="129"/>
      <c r="D14" s="123"/>
      <c r="E14" s="124">
        <f>E4-E13</f>
        <v>-518911.79999999981</v>
      </c>
      <c r="F14" s="5"/>
      <c r="G14" s="6"/>
      <c r="H14" s="5"/>
      <c r="I14" s="5"/>
      <c r="J14" s="5"/>
      <c r="K14" s="7"/>
      <c r="L14" s="8"/>
      <c r="M14" s="8"/>
      <c r="N14" s="8"/>
      <c r="O14" s="8"/>
      <c r="P14" s="5"/>
      <c r="Q14" s="5"/>
      <c r="R14" s="5"/>
      <c r="S14" s="5"/>
      <c r="T14" s="5"/>
    </row>
    <row r="15" spans="2:20" s="9" customFormat="1" ht="18">
      <c r="B15" s="130" t="s">
        <v>62</v>
      </c>
      <c r="C15" s="122"/>
      <c r="D15" s="122"/>
      <c r="E15" s="131" t="str">
        <f>IF(E13&gt;E4,"SUPER, PASST!","da fehlt noch was")</f>
        <v>SUPER, PASST!</v>
      </c>
      <c r="F15" s="5"/>
      <c r="G15" s="6"/>
      <c r="H15" s="5"/>
      <c r="I15" s="5"/>
      <c r="J15" s="5"/>
      <c r="K15" s="7"/>
      <c r="L15" s="8"/>
      <c r="M15" s="8"/>
      <c r="N15" s="8"/>
      <c r="O15" s="8"/>
      <c r="P15" s="5"/>
      <c r="Q15" s="5"/>
      <c r="R15" s="5"/>
      <c r="S15" s="5"/>
      <c r="T15" s="5"/>
    </row>
    <row r="16" spans="2:20" s="9" customFormat="1" ht="18">
      <c r="B16" s="32"/>
      <c r="C16" s="13"/>
      <c r="D16" s="13"/>
      <c r="E16" s="10"/>
      <c r="F16" s="5"/>
      <c r="G16" s="6"/>
      <c r="H16" s="5"/>
      <c r="I16" s="5"/>
      <c r="J16" s="5"/>
      <c r="K16" s="7"/>
      <c r="L16" s="8"/>
      <c r="M16" s="8"/>
      <c r="N16" s="8"/>
      <c r="O16" s="8"/>
      <c r="P16" s="5"/>
      <c r="Q16" s="5"/>
      <c r="R16" s="5"/>
      <c r="S16" s="5"/>
      <c r="T16" s="5"/>
    </row>
    <row r="17" spans="2:20" s="9" customFormat="1" ht="18">
      <c r="B17" s="34" t="s">
        <v>22</v>
      </c>
      <c r="C17" s="35"/>
      <c r="D17" s="36" t="s">
        <v>63</v>
      </c>
      <c r="E17" s="37"/>
      <c r="F17" s="5"/>
      <c r="G17" s="6"/>
      <c r="H17" s="5"/>
      <c r="I17" s="5"/>
      <c r="J17" s="5"/>
      <c r="K17" s="7"/>
      <c r="L17" s="8"/>
      <c r="M17" s="8"/>
      <c r="N17" s="8"/>
      <c r="O17" s="8"/>
      <c r="P17" s="5"/>
      <c r="Q17" s="5"/>
      <c r="R17" s="5"/>
      <c r="S17" s="5"/>
      <c r="T17" s="5"/>
    </row>
    <row r="18" spans="2:20" s="9" customFormat="1" ht="18">
      <c r="B18" s="38" t="s">
        <v>23</v>
      </c>
      <c r="C18" s="35" t="s">
        <v>35</v>
      </c>
      <c r="D18" s="37"/>
      <c r="E18" s="39"/>
      <c r="F18" s="5"/>
      <c r="G18" s="6"/>
      <c r="H18" s="5"/>
      <c r="I18" s="5"/>
      <c r="J18" s="5"/>
      <c r="K18" s="7"/>
      <c r="L18" s="8"/>
      <c r="M18" s="8"/>
      <c r="N18" s="8"/>
      <c r="O18" s="8"/>
      <c r="P18" s="5"/>
      <c r="Q18" s="5"/>
      <c r="R18" s="5"/>
      <c r="S18" s="5"/>
      <c r="T18" s="5"/>
    </row>
    <row r="19" spans="2:20" s="9" customFormat="1" ht="18">
      <c r="B19" s="13"/>
      <c r="C19" s="5"/>
      <c r="D19" s="10"/>
      <c r="E19" s="10"/>
      <c r="F19" s="5"/>
      <c r="G19" s="6"/>
      <c r="H19" s="5"/>
      <c r="I19" s="5"/>
      <c r="J19" s="5"/>
      <c r="K19" s="7"/>
      <c r="L19" s="8"/>
      <c r="M19" s="8"/>
      <c r="N19" s="8"/>
      <c r="O19" s="8"/>
      <c r="P19" s="5"/>
      <c r="Q19" s="5"/>
      <c r="R19" s="5"/>
      <c r="S19" s="5"/>
      <c r="T19" s="5"/>
    </row>
    <row r="20" spans="2:20" s="9" customFormat="1" ht="21">
      <c r="B20" s="40" t="s">
        <v>133</v>
      </c>
      <c r="C20" s="11"/>
      <c r="D20" s="11"/>
      <c r="E20" s="12"/>
      <c r="F20" s="5"/>
      <c r="G20" s="6"/>
      <c r="H20" s="5"/>
      <c r="I20" s="5"/>
      <c r="J20" s="5"/>
      <c r="K20" s="7"/>
      <c r="L20" s="8"/>
      <c r="M20" s="8"/>
      <c r="N20" s="8"/>
      <c r="O20" s="8"/>
      <c r="P20" s="5"/>
      <c r="Q20" s="5"/>
      <c r="R20" s="5"/>
      <c r="S20" s="5"/>
      <c r="T20" s="5"/>
    </row>
    <row r="21" spans="2:20" s="9" customFormat="1" ht="18">
      <c r="B21" s="41" t="s">
        <v>98</v>
      </c>
      <c r="C21" s="11"/>
      <c r="D21" s="11"/>
      <c r="E21" s="12"/>
      <c r="F21" s="5"/>
      <c r="G21" s="6"/>
      <c r="H21" s="5"/>
      <c r="I21" s="5"/>
      <c r="J21" s="5"/>
      <c r="K21" s="7"/>
      <c r="L21" s="8"/>
      <c r="M21" s="8"/>
      <c r="N21" s="8"/>
      <c r="O21" s="8"/>
      <c r="P21" s="5"/>
      <c r="Q21" s="5"/>
      <c r="R21" s="5"/>
      <c r="S21" s="5"/>
      <c r="T21" s="5"/>
    </row>
    <row r="22" spans="2:20" s="9" customFormat="1" ht="18">
      <c r="B22" s="42" t="s">
        <v>58</v>
      </c>
      <c r="C22" s="43"/>
      <c r="D22" s="43"/>
      <c r="E22" s="44"/>
      <c r="F22" s="5"/>
      <c r="G22" s="6"/>
      <c r="H22" s="5"/>
      <c r="I22" s="5"/>
      <c r="J22" s="5"/>
      <c r="K22" s="7"/>
      <c r="L22" s="8"/>
      <c r="M22" s="8"/>
      <c r="N22" s="8"/>
      <c r="O22" s="8"/>
      <c r="P22" s="5"/>
      <c r="Q22" s="5"/>
      <c r="R22" s="5"/>
      <c r="S22" s="5"/>
      <c r="T22" s="5"/>
    </row>
    <row r="23" spans="2:20" s="9" customFormat="1" ht="18">
      <c r="B23" s="42" t="s">
        <v>23</v>
      </c>
      <c r="C23" s="45" t="s">
        <v>60</v>
      </c>
      <c r="D23" s="46">
        <v>0.3</v>
      </c>
      <c r="E23" s="47">
        <f>'Investition Neubau'!$C$27*0.3</f>
        <v>6.8999999999999995</v>
      </c>
      <c r="F23" s="5"/>
      <c r="G23" s="6"/>
      <c r="H23" s="5"/>
      <c r="I23" s="5"/>
      <c r="J23" s="5"/>
      <c r="K23" s="7"/>
      <c r="L23" s="8"/>
      <c r="M23" s="8"/>
      <c r="N23" s="8"/>
      <c r="O23" s="8"/>
      <c r="P23" s="5"/>
      <c r="Q23" s="5"/>
      <c r="R23" s="5"/>
      <c r="S23" s="5"/>
      <c r="T23" s="5"/>
    </row>
    <row r="24" spans="2:20" s="9" customFormat="1" ht="18">
      <c r="B24" s="48"/>
      <c r="C24" s="43" t="s">
        <v>59</v>
      </c>
      <c r="D24" s="49"/>
      <c r="E24" s="50">
        <v>3</v>
      </c>
      <c r="F24" s="5"/>
      <c r="G24" s="6"/>
      <c r="H24" s="5"/>
      <c r="I24" s="5"/>
      <c r="J24" s="5"/>
      <c r="K24" s="7"/>
      <c r="L24" s="8"/>
      <c r="M24" s="8"/>
      <c r="N24" s="8"/>
      <c r="O24" s="8"/>
      <c r="P24" s="5"/>
      <c r="Q24" s="5"/>
      <c r="R24" s="5"/>
      <c r="S24" s="5"/>
      <c r="T24" s="5"/>
    </row>
    <row r="25" spans="2:20" s="9" customFormat="1" ht="27">
      <c r="B25" s="122"/>
      <c r="C25" s="134" t="s">
        <v>66</v>
      </c>
      <c r="D25" s="124">
        <v>27500</v>
      </c>
      <c r="E25" s="128">
        <f>ROUNDDOWN(E23,0)*D25</f>
        <v>165000</v>
      </c>
      <c r="F25" s="5"/>
      <c r="G25" s="6"/>
      <c r="H25" s="5"/>
      <c r="I25" s="5"/>
      <c r="J25" s="5"/>
      <c r="K25" s="7"/>
      <c r="L25" s="8"/>
      <c r="M25" s="8"/>
      <c r="N25" s="8"/>
      <c r="O25" s="8"/>
      <c r="P25" s="5"/>
      <c r="Q25" s="5"/>
      <c r="R25" s="5"/>
      <c r="S25" s="5"/>
      <c r="T25" s="5"/>
    </row>
    <row r="26" spans="2:20" s="9" customFormat="1" ht="18">
      <c r="B26" s="48"/>
      <c r="C26" s="43"/>
      <c r="D26" s="44"/>
      <c r="E26" s="51"/>
      <c r="F26" s="5"/>
      <c r="G26" s="6"/>
      <c r="H26" s="5"/>
      <c r="I26" s="5"/>
      <c r="J26" s="5"/>
      <c r="K26" s="7"/>
      <c r="L26" s="8"/>
      <c r="M26" s="8"/>
      <c r="N26" s="8"/>
      <c r="O26" s="8"/>
      <c r="P26" s="5"/>
      <c r="Q26" s="5"/>
      <c r="R26" s="5"/>
      <c r="S26" s="5"/>
      <c r="T26" s="5"/>
    </row>
    <row r="27" spans="2:20" s="9" customFormat="1" ht="18">
      <c r="B27" s="48"/>
      <c r="C27" s="43"/>
      <c r="D27" s="44"/>
      <c r="E27" s="51"/>
      <c r="F27" s="5"/>
      <c r="G27" s="6"/>
      <c r="H27" s="5"/>
      <c r="I27" s="5"/>
      <c r="J27" s="5"/>
      <c r="K27" s="7"/>
      <c r="L27" s="8"/>
      <c r="M27" s="8"/>
      <c r="N27" s="8"/>
      <c r="O27" s="8"/>
      <c r="P27" s="5"/>
      <c r="Q27" s="5"/>
      <c r="R27" s="5"/>
      <c r="S27" s="5"/>
      <c r="T27" s="5"/>
    </row>
    <row r="28" spans="2:20" s="9" customFormat="1" ht="18">
      <c r="B28" s="48"/>
      <c r="C28" s="43" t="s">
        <v>100</v>
      </c>
      <c r="D28" s="196">
        <f>Wohnungen!N9</f>
        <v>627</v>
      </c>
      <c r="E28" s="52" t="s">
        <v>128</v>
      </c>
      <c r="F28" s="5"/>
      <c r="G28" s="6"/>
      <c r="H28" s="5"/>
      <c r="I28" s="5"/>
      <c r="J28" s="5"/>
      <c r="K28" s="7"/>
      <c r="L28" s="8"/>
      <c r="M28" s="8"/>
      <c r="N28" s="8"/>
      <c r="O28" s="8"/>
      <c r="P28" s="5"/>
      <c r="Q28" s="5"/>
      <c r="R28" s="5"/>
      <c r="S28" s="5"/>
      <c r="T28" s="5"/>
    </row>
    <row r="29" spans="2:20" s="9" customFormat="1" ht="18">
      <c r="B29" s="48"/>
      <c r="C29" s="43"/>
      <c r="D29" s="50"/>
      <c r="E29" s="44">
        <f>IF('Investition Neubau'!$C$40&gt;5100,5100,'Investition Neubau'!$C$40)</f>
        <v>5100</v>
      </c>
      <c r="F29" s="5"/>
      <c r="G29" s="6"/>
      <c r="H29" s="5"/>
      <c r="I29" s="5"/>
      <c r="J29" s="5"/>
      <c r="K29" s="7"/>
      <c r="L29" s="8"/>
      <c r="M29" s="8"/>
      <c r="N29" s="8"/>
      <c r="O29" s="8"/>
      <c r="P29" s="5"/>
      <c r="Q29" s="5"/>
      <c r="R29" s="5"/>
      <c r="S29" s="5"/>
      <c r="T29" s="5"/>
    </row>
    <row r="30" spans="2:20" s="9" customFormat="1" ht="18">
      <c r="B30" s="122" t="s">
        <v>28</v>
      </c>
      <c r="C30" s="132" t="s">
        <v>37</v>
      </c>
      <c r="D30" s="124"/>
      <c r="E30" s="124">
        <f>D28*E29*0.65</f>
        <v>2078505</v>
      </c>
      <c r="F30" s="5"/>
      <c r="G30" s="6"/>
      <c r="H30" s="5"/>
      <c r="I30" s="5"/>
      <c r="J30" s="5"/>
      <c r="K30" s="7"/>
      <c r="L30" s="8"/>
      <c r="M30" s="8"/>
      <c r="N30" s="8"/>
      <c r="O30" s="8"/>
      <c r="P30" s="5"/>
      <c r="Q30" s="5"/>
      <c r="R30" s="5"/>
      <c r="S30" s="5"/>
      <c r="T30" s="5"/>
    </row>
    <row r="31" spans="2:20" s="9" customFormat="1" ht="18">
      <c r="B31" s="122"/>
      <c r="C31" s="133"/>
      <c r="D31" s="124"/>
      <c r="E31" s="124"/>
      <c r="F31" s="5"/>
      <c r="G31" s="6"/>
      <c r="H31" s="5"/>
      <c r="I31" s="5"/>
      <c r="J31" s="5"/>
      <c r="K31" s="7"/>
      <c r="L31" s="8"/>
      <c r="M31" s="8"/>
      <c r="N31" s="8"/>
      <c r="O31" s="8"/>
      <c r="P31" s="5"/>
      <c r="Q31" s="5"/>
      <c r="R31" s="5"/>
      <c r="S31" s="5"/>
      <c r="T31" s="5"/>
    </row>
    <row r="32" spans="2:20" s="9" customFormat="1" ht="18">
      <c r="B32" s="122" t="s">
        <v>67</v>
      </c>
      <c r="C32" s="132"/>
      <c r="D32" s="124"/>
      <c r="E32" s="127">
        <f>IF(E31&lt;(D28*D30),E31,E30)</f>
        <v>2078505</v>
      </c>
      <c r="F32" s="5"/>
      <c r="G32" s="6"/>
      <c r="H32" s="5"/>
      <c r="I32" s="5"/>
      <c r="J32" s="5"/>
      <c r="K32" s="7"/>
      <c r="L32" s="8"/>
      <c r="M32" s="8"/>
      <c r="N32" s="8"/>
      <c r="O32" s="8"/>
      <c r="P32" s="5"/>
      <c r="Q32" s="5"/>
      <c r="R32" s="5"/>
      <c r="S32" s="5"/>
      <c r="T32" s="5"/>
    </row>
    <row r="33" spans="1:20" s="9" customFormat="1" ht="18">
      <c r="B33" s="122"/>
      <c r="C33" s="132"/>
      <c r="D33" s="124"/>
      <c r="E33" s="127"/>
      <c r="F33" s="5"/>
      <c r="G33" s="6"/>
      <c r="H33" s="5"/>
      <c r="I33" s="5"/>
      <c r="J33" s="5"/>
      <c r="K33" s="7"/>
      <c r="L33" s="8"/>
      <c r="M33" s="8"/>
      <c r="N33" s="8"/>
      <c r="O33" s="8"/>
      <c r="P33" s="5"/>
      <c r="Q33" s="5"/>
      <c r="R33" s="5"/>
      <c r="S33" s="5"/>
      <c r="T33" s="5"/>
    </row>
    <row r="34" spans="1:20" ht="18">
      <c r="B34" s="122" t="s">
        <v>64</v>
      </c>
      <c r="C34" s="120"/>
      <c r="D34" s="120"/>
      <c r="E34" s="128">
        <f>E25+E32</f>
        <v>2243505</v>
      </c>
    </row>
    <row r="35" spans="1:20" s="9" customFormat="1" ht="18">
      <c r="B35" s="48"/>
      <c r="C35" s="43"/>
      <c r="D35" s="44"/>
      <c r="E35" s="44"/>
      <c r="F35" s="5"/>
      <c r="G35" s="6"/>
      <c r="H35" s="5"/>
      <c r="I35" s="5"/>
      <c r="J35" s="5"/>
      <c r="K35" s="7"/>
      <c r="L35" s="8"/>
      <c r="M35" s="8"/>
      <c r="N35" s="8"/>
      <c r="O35" s="8"/>
      <c r="P35" s="5"/>
      <c r="Q35" s="5"/>
      <c r="R35" s="5"/>
      <c r="S35" s="5"/>
      <c r="T35" s="5"/>
    </row>
    <row r="36" spans="1:20" s="9" customFormat="1" ht="18">
      <c r="B36" s="53" t="s">
        <v>65</v>
      </c>
      <c r="C36" s="43" t="s">
        <v>24</v>
      </c>
      <c r="D36" s="43"/>
      <c r="E36" s="54">
        <v>0</v>
      </c>
      <c r="F36" s="5"/>
      <c r="G36" s="6"/>
      <c r="H36" s="5"/>
      <c r="I36" s="5"/>
      <c r="J36" s="5"/>
      <c r="K36" s="7"/>
      <c r="L36" s="8"/>
      <c r="M36" s="8"/>
      <c r="N36" s="8"/>
      <c r="O36" s="8"/>
      <c r="P36" s="5"/>
      <c r="Q36" s="5"/>
      <c r="R36" s="5"/>
      <c r="S36" s="5"/>
      <c r="T36" s="5"/>
    </row>
    <row r="37" spans="1:20" s="9" customFormat="1" ht="18">
      <c r="B37" s="53"/>
      <c r="C37" s="43" t="s">
        <v>25</v>
      </c>
      <c r="D37" s="43"/>
      <c r="E37" s="50">
        <v>30</v>
      </c>
      <c r="F37" s="5" t="s">
        <v>27</v>
      </c>
      <c r="G37" s="6"/>
      <c r="H37" s="5"/>
      <c r="I37" s="5"/>
      <c r="J37" s="5"/>
      <c r="K37" s="7"/>
      <c r="L37" s="8"/>
      <c r="M37" s="8"/>
      <c r="N37" s="8"/>
      <c r="O37" s="8"/>
      <c r="P37" s="5"/>
      <c r="Q37" s="5"/>
      <c r="R37" s="5"/>
      <c r="S37" s="5"/>
      <c r="T37" s="5"/>
    </row>
    <row r="38" spans="1:20" s="9" customFormat="1" ht="18">
      <c r="B38" s="53"/>
      <c r="C38" s="49" t="s">
        <v>26</v>
      </c>
      <c r="D38" s="49"/>
      <c r="E38" s="54">
        <v>3.3300000000000003E-2</v>
      </c>
      <c r="F38" s="5"/>
      <c r="G38" s="6"/>
      <c r="H38" s="5"/>
      <c r="I38" s="5"/>
      <c r="J38" s="5"/>
      <c r="K38" s="7"/>
      <c r="L38" s="8"/>
      <c r="M38" s="8"/>
      <c r="N38" s="8"/>
      <c r="O38" s="8"/>
      <c r="P38" s="5"/>
      <c r="Q38" s="5"/>
      <c r="R38" s="5"/>
      <c r="S38" s="5"/>
      <c r="T38" s="5"/>
    </row>
    <row r="39" spans="1:20" s="9" customFormat="1" ht="18">
      <c r="B39" s="53"/>
      <c r="C39" s="43" t="s">
        <v>13</v>
      </c>
      <c r="D39" s="43"/>
      <c r="E39" s="50">
        <v>30</v>
      </c>
      <c r="F39" s="5" t="s">
        <v>27</v>
      </c>
      <c r="G39" s="6"/>
      <c r="H39" s="5"/>
      <c r="I39" s="5"/>
      <c r="J39" s="5"/>
      <c r="K39" s="7"/>
      <c r="L39" s="8"/>
      <c r="M39" s="8"/>
      <c r="N39" s="8"/>
      <c r="O39" s="8"/>
      <c r="P39" s="5"/>
      <c r="Q39" s="5"/>
      <c r="R39" s="5"/>
      <c r="S39" s="5"/>
      <c r="T39" s="5"/>
    </row>
    <row r="40" spans="1:20" s="9" customFormat="1" ht="18">
      <c r="B40" s="53"/>
      <c r="C40" s="43"/>
      <c r="D40" s="43"/>
      <c r="E40" s="50"/>
      <c r="F40" s="5"/>
      <c r="G40" s="6"/>
      <c r="H40" s="5"/>
      <c r="I40" s="5"/>
      <c r="J40" s="5"/>
      <c r="K40" s="7"/>
      <c r="L40" s="8"/>
      <c r="M40" s="8"/>
      <c r="N40" s="8"/>
      <c r="O40" s="8"/>
      <c r="P40" s="5"/>
      <c r="Q40" s="5"/>
      <c r="R40" s="5"/>
      <c r="S40" s="5"/>
      <c r="T40" s="5"/>
    </row>
    <row r="41" spans="1:20" s="9" customFormat="1" ht="18">
      <c r="B41" s="132" t="s">
        <v>30</v>
      </c>
      <c r="C41" s="132"/>
      <c r="D41" s="132"/>
      <c r="E41" s="124">
        <f>E34/30/12</f>
        <v>6231.958333333333</v>
      </c>
      <c r="F41" s="5"/>
      <c r="G41" s="6"/>
      <c r="H41" s="5"/>
      <c r="I41" s="5"/>
      <c r="J41" s="5"/>
      <c r="K41" s="7"/>
      <c r="L41" s="8"/>
      <c r="M41" s="8"/>
      <c r="N41" s="8"/>
      <c r="O41" s="8"/>
      <c r="P41" s="5"/>
      <c r="Q41" s="5"/>
      <c r="R41" s="5"/>
      <c r="S41" s="5"/>
      <c r="T41" s="5"/>
    </row>
    <row r="42" spans="1:20" s="9" customFormat="1" ht="18">
      <c r="B42" s="135" t="s">
        <v>29</v>
      </c>
      <c r="C42" s="132"/>
      <c r="D42" s="132"/>
      <c r="E42" s="127">
        <f>E41*12</f>
        <v>74783.5</v>
      </c>
      <c r="F42" s="5"/>
      <c r="G42" s="6"/>
      <c r="H42" s="5"/>
      <c r="I42" s="5"/>
      <c r="J42" s="5"/>
      <c r="K42" s="7"/>
      <c r="L42" s="8"/>
      <c r="M42" s="8"/>
      <c r="N42" s="8"/>
      <c r="O42" s="8"/>
      <c r="P42" s="5"/>
      <c r="Q42" s="5"/>
      <c r="R42" s="5"/>
      <c r="S42" s="5"/>
      <c r="T42" s="5"/>
    </row>
    <row r="43" spans="1:20" s="9" customFormat="1" ht="18">
      <c r="B43" s="135"/>
      <c r="C43" s="132"/>
      <c r="D43" s="132"/>
      <c r="E43" s="124"/>
      <c r="F43" s="5"/>
      <c r="G43" s="6"/>
      <c r="H43" s="5"/>
      <c r="I43" s="5"/>
      <c r="J43" s="5"/>
      <c r="K43" s="7"/>
      <c r="L43" s="8"/>
      <c r="M43" s="8"/>
      <c r="N43" s="8"/>
      <c r="O43" s="8"/>
      <c r="P43" s="5"/>
      <c r="Q43" s="5"/>
      <c r="R43" s="5"/>
      <c r="S43" s="5"/>
      <c r="T43" s="5"/>
    </row>
    <row r="44" spans="1:20" s="9" customFormat="1" ht="18">
      <c r="A44"/>
      <c r="B44" s="120"/>
      <c r="C44" s="120"/>
      <c r="D44" s="120"/>
      <c r="E44" s="120"/>
      <c r="F44" s="5"/>
      <c r="G44" s="6"/>
      <c r="H44" s="5"/>
      <c r="I44" s="5"/>
      <c r="J44" s="5"/>
      <c r="K44" s="7"/>
      <c r="L44" s="8"/>
      <c r="M44" s="8"/>
      <c r="N44" s="8"/>
      <c r="O44" s="8"/>
      <c r="P44" s="5"/>
      <c r="Q44" s="5"/>
      <c r="R44" s="5"/>
      <c r="S44" s="5"/>
      <c r="T44" s="5"/>
    </row>
    <row r="45" spans="1:20" s="9" customFormat="1" ht="18">
      <c r="A45"/>
      <c r="B45" s="132" t="s">
        <v>68</v>
      </c>
      <c r="C45" s="132"/>
      <c r="D45" s="132"/>
      <c r="E45" s="136">
        <v>6.8</v>
      </c>
      <c r="F45" s="5"/>
      <c r="G45" s="6"/>
      <c r="H45" s="5"/>
      <c r="I45" s="5"/>
      <c r="J45" s="5"/>
      <c r="K45" s="7"/>
      <c r="L45" s="8"/>
      <c r="M45" s="8"/>
      <c r="N45" s="8"/>
      <c r="O45" s="8"/>
      <c r="P45" s="5"/>
      <c r="Q45" s="5"/>
      <c r="R45" s="5"/>
      <c r="S45" s="5"/>
      <c r="T45" s="5"/>
    </row>
    <row r="46" spans="1:20" s="9" customFormat="1" ht="18">
      <c r="A46"/>
      <c r="B46"/>
      <c r="C46"/>
      <c r="D46"/>
      <c r="E46"/>
      <c r="F46" s="5"/>
      <c r="G46" s="6"/>
      <c r="H46" s="5"/>
      <c r="I46" s="5"/>
      <c r="J46" s="5"/>
      <c r="K46" s="7"/>
      <c r="L46" s="8"/>
      <c r="M46" s="8"/>
      <c r="N46" s="8"/>
      <c r="O46" s="8"/>
      <c r="P46" s="5"/>
      <c r="Q46" s="5"/>
      <c r="R46" s="5"/>
      <c r="S46" s="5"/>
      <c r="T46" s="5"/>
    </row>
    <row r="47" spans="1:20" s="9" customFormat="1" ht="18">
      <c r="A47"/>
      <c r="B47" s="55" t="s">
        <v>97</v>
      </c>
      <c r="C47" s="56"/>
      <c r="D47" s="56"/>
      <c r="E47" s="57"/>
      <c r="F47" s="5"/>
      <c r="G47" s="6"/>
      <c r="H47" s="5"/>
      <c r="I47" s="5"/>
      <c r="J47" s="5"/>
      <c r="K47" s="7"/>
      <c r="L47" s="8"/>
      <c r="M47" s="8"/>
      <c r="N47" s="8"/>
      <c r="O47" s="8"/>
      <c r="P47" s="5"/>
      <c r="Q47" s="5"/>
      <c r="R47" s="5"/>
      <c r="S47" s="5"/>
      <c r="T47" s="5"/>
    </row>
    <row r="48" spans="1:20" s="9" customFormat="1" ht="18">
      <c r="A48"/>
      <c r="B48" s="55" t="s">
        <v>23</v>
      </c>
      <c r="C48" s="58" t="s">
        <v>60</v>
      </c>
      <c r="D48" s="59">
        <v>0.3</v>
      </c>
      <c r="E48" s="60">
        <f>'Investition Neubau'!$C$27*0.3</f>
        <v>6.8999999999999995</v>
      </c>
      <c r="F48" s="5"/>
      <c r="G48" s="6"/>
      <c r="H48" s="5"/>
      <c r="I48" s="5"/>
      <c r="J48" s="5"/>
      <c r="K48" s="7"/>
      <c r="L48" s="8"/>
      <c r="M48" s="8"/>
      <c r="N48" s="8"/>
      <c r="O48" s="8"/>
      <c r="P48" s="5"/>
      <c r="Q48" s="5"/>
      <c r="R48" s="5"/>
      <c r="S48" s="5"/>
      <c r="T48" s="5"/>
    </row>
    <row r="49" spans="1:20" s="9" customFormat="1" ht="18">
      <c r="A49"/>
      <c r="B49" s="61"/>
      <c r="C49" s="56" t="s">
        <v>59</v>
      </c>
      <c r="D49" s="62"/>
      <c r="E49" s="63">
        <f>ROUNDDOWN(E48,0)</f>
        <v>6</v>
      </c>
      <c r="F49" s="5"/>
      <c r="G49" s="6"/>
      <c r="H49" s="5"/>
      <c r="I49" s="5"/>
      <c r="J49" s="5"/>
      <c r="K49" s="7"/>
      <c r="L49" s="8"/>
      <c r="M49" s="8"/>
      <c r="N49" s="8"/>
      <c r="O49" s="8"/>
      <c r="P49" s="5"/>
      <c r="Q49" s="5"/>
      <c r="R49" s="5"/>
      <c r="S49" s="5"/>
      <c r="T49" s="5"/>
    </row>
    <row r="50" spans="1:20" s="9" customFormat="1" ht="27">
      <c r="A50"/>
      <c r="B50" s="122"/>
      <c r="C50" s="134" t="s">
        <v>66</v>
      </c>
      <c r="D50" s="124">
        <v>10000</v>
      </c>
      <c r="E50" s="128">
        <f>ROUNDDOWN(E48,0)*D50</f>
        <v>60000</v>
      </c>
      <c r="F50" s="5"/>
      <c r="G50" s="6"/>
      <c r="H50" s="5"/>
      <c r="I50" s="5"/>
      <c r="J50" s="5"/>
      <c r="K50" s="7"/>
      <c r="L50" s="8"/>
      <c r="M50" s="8"/>
      <c r="N50" s="8"/>
      <c r="O50" s="8"/>
      <c r="P50" s="5"/>
      <c r="Q50" s="5"/>
      <c r="R50" s="5"/>
      <c r="S50" s="5"/>
      <c r="T50" s="5"/>
    </row>
    <row r="51" spans="1:20" s="9" customFormat="1" ht="18">
      <c r="A51"/>
      <c r="B51" s="61"/>
      <c r="C51" s="56"/>
      <c r="D51" s="57"/>
      <c r="E51" s="64"/>
      <c r="F51" s="5"/>
      <c r="G51" s="6"/>
      <c r="H51" s="5"/>
      <c r="I51" s="5"/>
      <c r="J51" s="5"/>
      <c r="K51" s="7"/>
      <c r="L51" s="8"/>
      <c r="M51" s="8"/>
      <c r="N51" s="8"/>
      <c r="O51" s="8"/>
      <c r="P51" s="5"/>
      <c r="Q51" s="5"/>
      <c r="R51" s="5"/>
      <c r="S51" s="5"/>
      <c r="T51" s="5"/>
    </row>
    <row r="52" spans="1:20" s="9" customFormat="1" ht="18">
      <c r="A52"/>
      <c r="B52" s="61"/>
      <c r="C52" s="56"/>
      <c r="D52" s="57"/>
      <c r="E52" s="64"/>
      <c r="F52" s="5"/>
      <c r="G52" s="6"/>
      <c r="H52" s="5"/>
      <c r="I52" s="5"/>
      <c r="J52" s="5"/>
      <c r="K52" s="7"/>
      <c r="L52" s="8"/>
      <c r="M52" s="8"/>
      <c r="N52" s="8"/>
      <c r="O52" s="8"/>
      <c r="P52" s="5"/>
      <c r="Q52" s="5"/>
      <c r="R52" s="5"/>
      <c r="S52" s="5"/>
      <c r="T52" s="5"/>
    </row>
    <row r="53" spans="1:20" s="9" customFormat="1" ht="18">
      <c r="A53"/>
      <c r="B53" s="61"/>
      <c r="C53" s="56" t="s">
        <v>100</v>
      </c>
      <c r="D53" s="197">
        <f>Wohnungen!N15</f>
        <v>314</v>
      </c>
      <c r="E53" s="52" t="s">
        <v>128</v>
      </c>
      <c r="F53" s="5"/>
      <c r="G53" s="6"/>
      <c r="H53" s="5"/>
      <c r="I53" s="5"/>
      <c r="J53" s="5"/>
      <c r="K53" s="7"/>
      <c r="L53" s="8"/>
      <c r="M53" s="8"/>
      <c r="N53" s="8"/>
      <c r="O53" s="8"/>
      <c r="P53" s="5"/>
      <c r="Q53" s="5"/>
      <c r="R53" s="5"/>
      <c r="S53" s="5"/>
      <c r="T53" s="5"/>
    </row>
    <row r="54" spans="1:20" s="9" customFormat="1" ht="18">
      <c r="A54"/>
      <c r="B54" s="61"/>
      <c r="C54" s="56"/>
      <c r="D54" s="63"/>
      <c r="E54" s="57">
        <f>IF('Investition Neubau'!$C$40&gt;5100,5100,'Investition Neubau'!$C$40)</f>
        <v>5100</v>
      </c>
      <c r="F54" s="5"/>
      <c r="G54" s="6"/>
      <c r="H54" s="5"/>
      <c r="I54" s="5"/>
      <c r="J54" s="5"/>
      <c r="K54" s="7"/>
      <c r="L54" s="8"/>
      <c r="M54" s="8"/>
      <c r="N54" s="8"/>
      <c r="O54" s="8"/>
      <c r="P54" s="5"/>
      <c r="Q54" s="5"/>
      <c r="R54" s="5"/>
      <c r="S54" s="5"/>
      <c r="T54" s="5"/>
    </row>
    <row r="55" spans="1:20" s="9" customFormat="1" ht="18">
      <c r="A55"/>
      <c r="B55" s="61" t="s">
        <v>28</v>
      </c>
      <c r="C55" s="56" t="s">
        <v>37</v>
      </c>
      <c r="D55" s="63"/>
      <c r="E55" s="57">
        <f>D53*E54*0.65</f>
        <v>1040910</v>
      </c>
      <c r="F55" s="5"/>
      <c r="G55" s="6"/>
      <c r="H55" s="5"/>
      <c r="I55" s="5"/>
      <c r="J55" s="5"/>
      <c r="K55" s="7"/>
      <c r="L55" s="8"/>
      <c r="M55" s="8"/>
      <c r="N55" s="8"/>
      <c r="O55" s="8"/>
      <c r="P55" s="5"/>
      <c r="Q55" s="5"/>
      <c r="R55" s="5"/>
      <c r="S55" s="5"/>
      <c r="T55" s="5"/>
    </row>
    <row r="56" spans="1:20" s="9" customFormat="1" ht="18">
      <c r="A56"/>
      <c r="B56" s="61"/>
      <c r="C56" s="65"/>
      <c r="D56" s="57"/>
      <c r="E56" s="57"/>
      <c r="F56" s="5"/>
      <c r="G56" s="6"/>
      <c r="H56" s="5"/>
      <c r="I56" s="5"/>
      <c r="J56" s="5"/>
      <c r="K56" s="7"/>
      <c r="L56" s="8"/>
      <c r="M56" s="8"/>
      <c r="N56" s="8"/>
      <c r="O56" s="8"/>
      <c r="P56" s="5"/>
      <c r="Q56" s="5"/>
      <c r="R56" s="5"/>
      <c r="S56" s="5"/>
      <c r="T56" s="5"/>
    </row>
    <row r="57" spans="1:20" s="9" customFormat="1" ht="18">
      <c r="A57"/>
      <c r="B57" s="122" t="s">
        <v>67</v>
      </c>
      <c r="C57" s="132"/>
      <c r="D57" s="124"/>
      <c r="E57" s="127">
        <f>IF(E56&lt;(D53*D55),E56,E55)</f>
        <v>1040910</v>
      </c>
      <c r="F57" s="5"/>
      <c r="G57" s="6"/>
      <c r="H57" s="5"/>
      <c r="I57" s="5"/>
      <c r="J57" s="5"/>
      <c r="K57" s="7"/>
      <c r="L57" s="8"/>
      <c r="M57" s="8"/>
      <c r="N57" s="8"/>
      <c r="O57" s="8"/>
      <c r="P57" s="5"/>
      <c r="Q57" s="5"/>
      <c r="R57" s="5"/>
      <c r="S57" s="5"/>
      <c r="T57" s="5"/>
    </row>
    <row r="58" spans="1:20" s="9" customFormat="1" ht="18">
      <c r="A58"/>
      <c r="B58" s="122"/>
      <c r="C58" s="132"/>
      <c r="D58" s="124"/>
      <c r="E58" s="127"/>
      <c r="F58" s="5"/>
      <c r="G58" s="6"/>
      <c r="H58" s="5"/>
      <c r="I58" s="5"/>
      <c r="J58" s="5"/>
      <c r="K58" s="7"/>
      <c r="L58" s="8"/>
      <c r="M58" s="8"/>
      <c r="N58" s="8"/>
      <c r="O58" s="8"/>
      <c r="P58" s="5"/>
      <c r="Q58" s="5"/>
      <c r="R58" s="5"/>
      <c r="S58" s="5"/>
      <c r="T58" s="5"/>
    </row>
    <row r="59" spans="1:20" s="9" customFormat="1" ht="18">
      <c r="A59"/>
      <c r="B59" s="122" t="s">
        <v>64</v>
      </c>
      <c r="C59" s="120"/>
      <c r="D59" s="120"/>
      <c r="E59" s="128">
        <f>E50+E57</f>
        <v>1100910</v>
      </c>
      <c r="F59" s="5"/>
      <c r="G59" s="6"/>
      <c r="H59" s="5"/>
      <c r="I59" s="5"/>
      <c r="J59" s="5"/>
      <c r="K59" s="7"/>
      <c r="L59" s="8"/>
      <c r="M59" s="8"/>
      <c r="N59" s="8"/>
      <c r="O59" s="8"/>
      <c r="P59" s="5"/>
      <c r="Q59" s="5"/>
      <c r="R59" s="5"/>
      <c r="S59" s="5"/>
      <c r="T59" s="5"/>
    </row>
    <row r="60" spans="1:20" s="9" customFormat="1" ht="18">
      <c r="A60"/>
      <c r="B60" s="61"/>
      <c r="C60" s="56"/>
      <c r="D60" s="57"/>
      <c r="E60" s="57"/>
      <c r="F60" s="5"/>
      <c r="G60" s="6"/>
      <c r="H60" s="5"/>
      <c r="I60" s="5"/>
      <c r="J60" s="5"/>
      <c r="K60" s="7"/>
      <c r="L60" s="8"/>
      <c r="M60" s="8"/>
      <c r="N60" s="8"/>
      <c r="O60" s="8"/>
      <c r="P60" s="5"/>
      <c r="Q60" s="5"/>
      <c r="R60" s="5"/>
      <c r="S60" s="5"/>
      <c r="T60" s="5"/>
    </row>
    <row r="61" spans="1:20" s="9" customFormat="1" ht="18">
      <c r="A61"/>
      <c r="B61" s="66" t="s">
        <v>65</v>
      </c>
      <c r="C61" s="56" t="s">
        <v>24</v>
      </c>
      <c r="D61" s="56"/>
      <c r="E61" s="67">
        <v>0</v>
      </c>
      <c r="F61" s="5"/>
      <c r="G61" s="6"/>
      <c r="H61" s="5"/>
      <c r="I61" s="5"/>
      <c r="J61" s="5"/>
      <c r="K61" s="7"/>
      <c r="L61" s="8"/>
      <c r="M61" s="8"/>
      <c r="N61" s="8"/>
      <c r="O61" s="8"/>
      <c r="P61" s="5"/>
      <c r="Q61" s="5"/>
      <c r="R61" s="5"/>
      <c r="S61" s="5"/>
      <c r="T61" s="5"/>
    </row>
    <row r="62" spans="1:20" s="9" customFormat="1" ht="18">
      <c r="A62"/>
      <c r="B62" s="66"/>
      <c r="C62" s="56" t="s">
        <v>25</v>
      </c>
      <c r="D62" s="56"/>
      <c r="E62" s="63">
        <v>30</v>
      </c>
      <c r="F62" s="5" t="s">
        <v>27</v>
      </c>
      <c r="G62" s="6"/>
      <c r="H62" s="5"/>
      <c r="I62" s="5"/>
      <c r="J62" s="5"/>
      <c r="K62" s="7"/>
      <c r="L62" s="8"/>
      <c r="M62" s="8"/>
      <c r="N62" s="8"/>
      <c r="O62" s="8"/>
      <c r="P62" s="5"/>
      <c r="Q62" s="5"/>
      <c r="R62" s="5"/>
      <c r="S62" s="5"/>
      <c r="T62" s="5"/>
    </row>
    <row r="63" spans="1:20" s="9" customFormat="1" ht="18">
      <c r="A63"/>
      <c r="B63" s="66"/>
      <c r="C63" s="62" t="s">
        <v>26</v>
      </c>
      <c r="D63" s="62"/>
      <c r="E63" s="67">
        <v>3.3300000000000003E-2</v>
      </c>
      <c r="F63" s="5"/>
      <c r="G63" s="6"/>
      <c r="H63" s="5"/>
      <c r="I63" s="5"/>
      <c r="J63" s="5"/>
      <c r="K63" s="7"/>
      <c r="L63" s="8"/>
      <c r="M63" s="8"/>
      <c r="N63" s="8"/>
      <c r="O63" s="8"/>
      <c r="P63" s="5"/>
      <c r="Q63" s="5"/>
      <c r="R63" s="5"/>
      <c r="S63" s="5"/>
      <c r="T63" s="5"/>
    </row>
    <row r="64" spans="1:20" s="9" customFormat="1" ht="18">
      <c r="A64"/>
      <c r="B64" s="66"/>
      <c r="C64" s="56" t="s">
        <v>13</v>
      </c>
      <c r="D64" s="56"/>
      <c r="E64" s="63">
        <v>30</v>
      </c>
      <c r="F64" s="5" t="s">
        <v>27</v>
      </c>
      <c r="G64" s="6"/>
      <c r="H64" s="5"/>
      <c r="I64" s="5"/>
      <c r="J64" s="5"/>
      <c r="K64" s="7"/>
      <c r="L64" s="8"/>
      <c r="M64" s="8"/>
      <c r="N64" s="8"/>
      <c r="O64" s="8"/>
      <c r="P64" s="5"/>
      <c r="Q64" s="5"/>
      <c r="R64" s="5"/>
      <c r="S64" s="5"/>
      <c r="T64" s="5"/>
    </row>
    <row r="65" spans="1:20" s="9" customFormat="1" ht="18">
      <c r="A65"/>
      <c r="B65" s="66"/>
      <c r="C65" s="56"/>
      <c r="D65" s="56"/>
      <c r="E65" s="63"/>
      <c r="F65" s="5"/>
      <c r="G65" s="6"/>
      <c r="H65" s="5"/>
      <c r="I65" s="5"/>
      <c r="J65" s="5"/>
      <c r="K65" s="7"/>
      <c r="L65" s="8"/>
      <c r="M65" s="8"/>
      <c r="N65" s="8"/>
      <c r="O65" s="8"/>
      <c r="P65" s="5"/>
      <c r="Q65" s="5"/>
      <c r="R65" s="5"/>
      <c r="S65" s="5"/>
      <c r="T65" s="5"/>
    </row>
    <row r="66" spans="1:20" s="9" customFormat="1" ht="18">
      <c r="A66"/>
      <c r="B66" s="132" t="s">
        <v>30</v>
      </c>
      <c r="C66" s="132"/>
      <c r="D66" s="132"/>
      <c r="E66" s="124">
        <f>E59/30/12</f>
        <v>3058.0833333333335</v>
      </c>
      <c r="F66" s="5"/>
      <c r="G66" s="6"/>
      <c r="H66" s="5"/>
      <c r="I66" s="5"/>
      <c r="J66" s="5"/>
      <c r="K66" s="7"/>
      <c r="L66" s="8"/>
      <c r="M66" s="8"/>
      <c r="N66" s="8"/>
      <c r="O66" s="8"/>
      <c r="P66" s="5"/>
      <c r="Q66" s="5"/>
      <c r="R66" s="5"/>
      <c r="S66" s="5"/>
      <c r="T66" s="5"/>
    </row>
    <row r="67" spans="1:20" s="9" customFormat="1" ht="18">
      <c r="A67"/>
      <c r="B67" s="135" t="s">
        <v>29</v>
      </c>
      <c r="C67" s="132"/>
      <c r="D67" s="132"/>
      <c r="E67" s="127">
        <f>E66*12</f>
        <v>36697</v>
      </c>
      <c r="F67" s="5"/>
      <c r="G67" s="6"/>
      <c r="H67" s="5"/>
      <c r="I67" s="5"/>
      <c r="J67" s="5"/>
      <c r="K67" s="7"/>
      <c r="L67" s="8"/>
      <c r="M67" s="8"/>
      <c r="N67" s="8"/>
      <c r="O67" s="8"/>
      <c r="P67" s="5"/>
      <c r="Q67" s="5"/>
      <c r="R67" s="5"/>
      <c r="S67" s="5"/>
      <c r="T67" s="5"/>
    </row>
    <row r="68" spans="1:20" s="9" customFormat="1" ht="18">
      <c r="A68"/>
      <c r="B68" s="135"/>
      <c r="C68" s="132"/>
      <c r="D68" s="132"/>
      <c r="E68" s="124"/>
      <c r="F68" s="5"/>
      <c r="G68" s="6"/>
      <c r="H68" s="5"/>
      <c r="I68" s="5"/>
      <c r="J68" s="5"/>
      <c r="K68" s="7"/>
      <c r="L68" s="8"/>
      <c r="M68" s="8"/>
      <c r="N68" s="8"/>
      <c r="O68" s="8"/>
      <c r="P68" s="5"/>
      <c r="Q68" s="5"/>
      <c r="R68" s="5"/>
      <c r="S68" s="5"/>
      <c r="T68" s="5"/>
    </row>
    <row r="69" spans="1:20" s="9" customFormat="1" ht="18">
      <c r="A69"/>
      <c r="B69" s="120"/>
      <c r="C69" s="120"/>
      <c r="D69" s="120"/>
      <c r="E69" s="120"/>
      <c r="F69" s="5"/>
      <c r="G69" s="6"/>
      <c r="H69" s="5"/>
      <c r="I69" s="5"/>
      <c r="J69" s="5"/>
      <c r="K69" s="7"/>
      <c r="L69" s="8"/>
      <c r="M69" s="8"/>
      <c r="N69" s="8"/>
      <c r="O69" s="8"/>
      <c r="P69" s="5"/>
      <c r="Q69" s="5"/>
      <c r="R69" s="5"/>
      <c r="S69" s="5"/>
      <c r="T69" s="5"/>
    </row>
    <row r="70" spans="1:20" s="9" customFormat="1" ht="18">
      <c r="A70"/>
      <c r="B70" s="132" t="s">
        <v>68</v>
      </c>
      <c r="C70" s="132"/>
      <c r="D70" s="132"/>
      <c r="E70" s="136">
        <v>9</v>
      </c>
      <c r="F70" s="5"/>
      <c r="G70" s="6"/>
      <c r="H70" s="5"/>
      <c r="I70" s="5"/>
      <c r="J70" s="5"/>
      <c r="K70" s="7"/>
      <c r="L70" s="8"/>
      <c r="M70" s="8"/>
      <c r="N70" s="8"/>
      <c r="O70" s="8"/>
      <c r="P70" s="5"/>
      <c r="Q70" s="5"/>
      <c r="R70" s="5"/>
      <c r="S70" s="5"/>
      <c r="T70" s="5"/>
    </row>
    <row r="71" spans="1:20" s="9" customFormat="1" ht="18">
      <c r="B71" s="120"/>
      <c r="C71" s="120"/>
      <c r="D71" s="120"/>
      <c r="E71" s="137"/>
      <c r="F71" s="5"/>
      <c r="G71" s="6"/>
      <c r="H71" s="5"/>
      <c r="I71" s="5"/>
      <c r="J71" s="5"/>
      <c r="K71" s="7"/>
      <c r="L71" s="8"/>
      <c r="M71" s="8"/>
      <c r="N71" s="8"/>
      <c r="O71" s="8"/>
      <c r="P71" s="5"/>
      <c r="Q71" s="5"/>
      <c r="R71" s="5"/>
      <c r="S71" s="5"/>
      <c r="T71" s="5"/>
    </row>
    <row r="72" spans="1:20" s="9" customFormat="1" ht="18">
      <c r="B72" s="132" t="s">
        <v>39</v>
      </c>
      <c r="C72" s="120"/>
      <c r="D72" s="120"/>
      <c r="E72" s="128">
        <f>E13+E18+E25+E32+E50+E57</f>
        <v>5522415</v>
      </c>
      <c r="F72" s="5"/>
      <c r="G72" s="6"/>
      <c r="H72" s="5"/>
      <c r="I72" s="5"/>
      <c r="J72" s="5"/>
      <c r="K72" s="7"/>
      <c r="L72" s="8"/>
      <c r="M72" s="8"/>
      <c r="N72" s="8"/>
      <c r="O72" s="8"/>
      <c r="P72" s="5"/>
      <c r="Q72" s="5"/>
      <c r="R72" s="5"/>
      <c r="S72" s="5"/>
      <c r="T72" s="5"/>
    </row>
    <row r="73" spans="1:20" s="9" customFormat="1" ht="18">
      <c r="B73"/>
      <c r="C73"/>
      <c r="D73"/>
      <c r="E73"/>
      <c r="F73" s="5"/>
      <c r="G73" s="6"/>
      <c r="H73" s="5"/>
      <c r="I73" s="5"/>
      <c r="J73" s="5"/>
      <c r="K73" s="7"/>
      <c r="L73" s="8"/>
      <c r="M73" s="8"/>
      <c r="N73" s="8"/>
      <c r="O73" s="8"/>
      <c r="P73" s="5"/>
      <c r="Q73" s="5"/>
      <c r="R73" s="5"/>
      <c r="S73" s="5"/>
      <c r="T73" s="5"/>
    </row>
    <row r="74" spans="1:20" s="9" customFormat="1" ht="18">
      <c r="B74"/>
      <c r="C74"/>
      <c r="D74"/>
      <c r="E74"/>
      <c r="F74" s="5"/>
      <c r="G74" s="6"/>
      <c r="H74" s="5"/>
      <c r="I74" s="5"/>
      <c r="J74" s="5"/>
      <c r="K74" s="7"/>
      <c r="L74" s="8"/>
      <c r="M74" s="8"/>
      <c r="N74" s="8"/>
      <c r="O74" s="8"/>
      <c r="P74" s="5"/>
      <c r="Q74" s="5"/>
      <c r="R74" s="5"/>
      <c r="S74" s="5"/>
      <c r="T74" s="5"/>
    </row>
    <row r="75" spans="1:20" s="9" customFormat="1" ht="18">
      <c r="B75"/>
      <c r="C75"/>
      <c r="D75"/>
      <c r="E75"/>
      <c r="F75" s="5"/>
      <c r="G75" s="6"/>
      <c r="H75" s="5"/>
      <c r="I75" s="5"/>
      <c r="J75" s="5"/>
      <c r="K75" s="7"/>
      <c r="L75" s="8"/>
      <c r="M75" s="8"/>
      <c r="N75" s="8"/>
      <c r="O75" s="8"/>
      <c r="P75" s="5"/>
      <c r="Q75" s="5"/>
      <c r="R75" s="5"/>
      <c r="S75" s="5"/>
      <c r="T75" s="5"/>
    </row>
    <row r="76" spans="1:20" s="9" customFormat="1" ht="18">
      <c r="B76"/>
      <c r="C76"/>
      <c r="D76"/>
      <c r="E76"/>
      <c r="F76" s="5"/>
      <c r="G76" s="6"/>
      <c r="H76" s="5"/>
      <c r="I76" s="5"/>
      <c r="J76" s="5"/>
      <c r="K76" s="7"/>
      <c r="L76" s="8"/>
      <c r="M76" s="8"/>
      <c r="N76" s="8"/>
      <c r="O76" s="8"/>
      <c r="P76" s="5"/>
      <c r="Q76" s="5"/>
      <c r="R76" s="5"/>
      <c r="S76" s="5"/>
      <c r="T76" s="5"/>
    </row>
    <row r="77" spans="1:20" s="9" customFormat="1" ht="18">
      <c r="B77"/>
      <c r="C77"/>
      <c r="D77"/>
      <c r="E77"/>
      <c r="F77" s="5"/>
      <c r="G77" s="6"/>
      <c r="H77" s="5"/>
      <c r="I77" s="5"/>
      <c r="J77" s="5"/>
      <c r="K77" s="7"/>
      <c r="L77" s="8"/>
      <c r="M77" s="8"/>
      <c r="N77" s="8"/>
      <c r="O77" s="8"/>
      <c r="P77" s="5"/>
      <c r="Q77" s="5"/>
      <c r="R77" s="5"/>
      <c r="S77" s="5"/>
      <c r="T77" s="5"/>
    </row>
    <row r="78" spans="1:20" s="9" customFormat="1" ht="18">
      <c r="B78"/>
      <c r="C78"/>
      <c r="D78"/>
      <c r="E78"/>
      <c r="F78" s="5"/>
      <c r="G78" s="6"/>
      <c r="H78" s="5"/>
      <c r="I78" s="5"/>
      <c r="J78" s="5"/>
      <c r="K78" s="7"/>
      <c r="L78" s="8"/>
      <c r="M78" s="8"/>
      <c r="N78" s="8"/>
      <c r="O78" s="8"/>
      <c r="P78" s="5"/>
      <c r="Q78" s="5"/>
      <c r="R78" s="5"/>
      <c r="S78" s="5"/>
      <c r="T78" s="5"/>
    </row>
    <row r="79" spans="1:20" s="9" customFormat="1" ht="18">
      <c r="B79"/>
      <c r="C79"/>
      <c r="D79"/>
      <c r="E79"/>
      <c r="F79" s="5"/>
      <c r="G79" s="6"/>
      <c r="H79" s="5"/>
      <c r="I79" s="5"/>
      <c r="J79" s="5"/>
      <c r="K79" s="7"/>
      <c r="L79" s="8"/>
      <c r="M79" s="8"/>
      <c r="N79" s="8"/>
      <c r="O79" s="8"/>
      <c r="P79" s="5"/>
      <c r="Q79" s="5"/>
      <c r="R79" s="5"/>
      <c r="S79" s="5"/>
      <c r="T79" s="5"/>
    </row>
    <row r="80" spans="1:20" s="9" customFormat="1" ht="18">
      <c r="B80"/>
      <c r="C80"/>
      <c r="D80"/>
      <c r="E80"/>
      <c r="F80" s="5"/>
      <c r="G80" s="6"/>
      <c r="H80" s="5"/>
      <c r="I80" s="5"/>
      <c r="J80" s="5"/>
      <c r="K80" s="7"/>
      <c r="L80" s="8"/>
      <c r="M80" s="8"/>
      <c r="N80" s="8"/>
      <c r="O80" s="8"/>
      <c r="P80" s="5"/>
      <c r="Q80" s="5"/>
      <c r="R80" s="5"/>
      <c r="S80" s="5"/>
      <c r="T80" s="5"/>
    </row>
    <row r="81" spans="2:20" s="9" customFormat="1" ht="18">
      <c r="B81"/>
      <c r="C81"/>
      <c r="D81"/>
      <c r="E81"/>
      <c r="F81" s="5"/>
      <c r="G81" s="6"/>
      <c r="H81" s="5"/>
      <c r="I81" s="5"/>
      <c r="J81" s="5"/>
      <c r="K81" s="7"/>
      <c r="L81" s="8"/>
      <c r="M81" s="8"/>
      <c r="N81" s="8"/>
      <c r="O81" s="8"/>
      <c r="P81" s="5"/>
      <c r="Q81" s="5"/>
      <c r="R81" s="5"/>
      <c r="S81" s="5"/>
      <c r="T81" s="5"/>
    </row>
    <row r="82" spans="2:20" s="9" customFormat="1" ht="18">
      <c r="B82"/>
      <c r="C82"/>
      <c r="D82"/>
      <c r="E82"/>
      <c r="F82" s="5"/>
      <c r="G82" s="6"/>
      <c r="H82" s="5"/>
      <c r="I82" s="5"/>
      <c r="J82" s="5"/>
      <c r="K82" s="7"/>
      <c r="L82" s="8"/>
      <c r="M82" s="8"/>
      <c r="N82" s="8"/>
      <c r="O82" s="8"/>
      <c r="P82" s="5"/>
      <c r="Q82" s="5"/>
      <c r="R82" s="5"/>
      <c r="S82" s="5"/>
      <c r="T82" s="5"/>
    </row>
    <row r="83" spans="2:20" s="9" customFormat="1" ht="18">
      <c r="B83"/>
      <c r="C83"/>
      <c r="D83"/>
      <c r="E83"/>
      <c r="F83" s="5"/>
      <c r="G83" s="6"/>
      <c r="H83" s="5"/>
      <c r="I83" s="5"/>
      <c r="J83" s="5"/>
      <c r="K83" s="7"/>
      <c r="L83" s="8"/>
      <c r="M83" s="8"/>
      <c r="N83" s="8"/>
      <c r="O83" s="8"/>
      <c r="P83" s="5"/>
      <c r="Q83" s="5"/>
      <c r="R83" s="5"/>
      <c r="S83" s="5"/>
      <c r="T83" s="5"/>
    </row>
    <row r="84" spans="2:20" s="9" customFormat="1" ht="18">
      <c r="B84"/>
      <c r="C84"/>
      <c r="D84"/>
      <c r="E84"/>
      <c r="F84" s="5"/>
      <c r="G84" s="6"/>
      <c r="H84" s="5"/>
      <c r="I84" s="5"/>
      <c r="J84" s="5"/>
      <c r="K84" s="7"/>
      <c r="L84" s="8"/>
      <c r="M84" s="8"/>
      <c r="N84" s="8"/>
      <c r="O84" s="8"/>
      <c r="P84" s="5"/>
      <c r="Q84" s="5"/>
      <c r="R84" s="5"/>
      <c r="S84" s="5"/>
      <c r="T84" s="5"/>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056F0-1C20-4EF2-ACDC-144FC8581530}">
  <dimension ref="A1:E54"/>
  <sheetViews>
    <sheetView workbookViewId="0">
      <selection activeCell="N29" sqref="N29"/>
    </sheetView>
  </sheetViews>
  <sheetFormatPr baseColWidth="10" defaultRowHeight="12.75"/>
  <sheetData>
    <row r="1" spans="1:5">
      <c r="A1" s="138"/>
      <c r="B1" s="138"/>
      <c r="C1" s="138"/>
      <c r="D1" s="138"/>
      <c r="E1" s="138"/>
    </row>
    <row r="2" spans="1:5">
      <c r="A2" s="139"/>
      <c r="B2" s="140" t="s">
        <v>4</v>
      </c>
      <c r="C2" s="139"/>
      <c r="D2" s="139"/>
      <c r="E2" s="139"/>
    </row>
    <row r="3" spans="1:5">
      <c r="A3" s="139" t="s">
        <v>13</v>
      </c>
      <c r="B3" s="141" t="s">
        <v>6</v>
      </c>
      <c r="C3" s="141" t="s">
        <v>7</v>
      </c>
      <c r="D3" s="141" t="s">
        <v>8</v>
      </c>
      <c r="E3" s="141" t="s">
        <v>9</v>
      </c>
    </row>
    <row r="4" spans="1:5">
      <c r="A4" s="139">
        <v>1</v>
      </c>
      <c r="B4" s="142">
        <f>Eigenmittel_Förderung!E8</f>
        <v>150000</v>
      </c>
      <c r="C4" s="142">
        <f>B4*Eigenmittel_Förderung!C78</f>
        <v>0</v>
      </c>
      <c r="D4" s="142">
        <f>B4*Eigenmittel_Förderung!$C$8</f>
        <v>1500</v>
      </c>
      <c r="E4" s="142">
        <f t="shared" ref="E4:E32" si="0">C4+D4</f>
        <v>1500</v>
      </c>
    </row>
    <row r="5" spans="1:5">
      <c r="A5" s="139">
        <v>2</v>
      </c>
      <c r="B5" s="142">
        <f t="shared" ref="B5:B32" si="1">B4-C4</f>
        <v>150000</v>
      </c>
      <c r="C5" s="142">
        <f t="shared" ref="C5:C32" si="2">E4-D5</f>
        <v>0</v>
      </c>
      <c r="D5" s="142">
        <f>B5*Eigenmittel_Förderung!$C$8</f>
        <v>1500</v>
      </c>
      <c r="E5" s="142">
        <f t="shared" si="0"/>
        <v>1500</v>
      </c>
    </row>
    <row r="6" spans="1:5">
      <c r="A6" s="139">
        <v>3</v>
      </c>
      <c r="B6" s="142">
        <f t="shared" si="1"/>
        <v>150000</v>
      </c>
      <c r="C6" s="142">
        <f t="shared" si="2"/>
        <v>0</v>
      </c>
      <c r="D6" s="142">
        <f>B6*Eigenmittel_Förderung!$C$8</f>
        <v>1500</v>
      </c>
      <c r="E6" s="142">
        <f t="shared" si="0"/>
        <v>1500</v>
      </c>
    </row>
    <row r="7" spans="1:5">
      <c r="A7" s="139">
        <v>4</v>
      </c>
      <c r="B7" s="142">
        <f t="shared" si="1"/>
        <v>150000</v>
      </c>
      <c r="C7" s="142">
        <f t="shared" si="2"/>
        <v>0</v>
      </c>
      <c r="D7" s="142">
        <f>B7*Eigenmittel_Förderung!$C$8</f>
        <v>1500</v>
      </c>
      <c r="E7" s="142">
        <f t="shared" si="0"/>
        <v>1500</v>
      </c>
    </row>
    <row r="8" spans="1:5">
      <c r="A8" s="139">
        <v>5</v>
      </c>
      <c r="B8" s="142">
        <f t="shared" si="1"/>
        <v>150000</v>
      </c>
      <c r="C8" s="142">
        <f t="shared" si="2"/>
        <v>0</v>
      </c>
      <c r="D8" s="142">
        <f>B8*Eigenmittel_Förderung!$C$8</f>
        <v>1500</v>
      </c>
      <c r="E8" s="142">
        <f t="shared" si="0"/>
        <v>1500</v>
      </c>
    </row>
    <row r="9" spans="1:5">
      <c r="A9" s="139">
        <v>6</v>
      </c>
      <c r="B9" s="142">
        <f t="shared" si="1"/>
        <v>150000</v>
      </c>
      <c r="C9" s="142">
        <f t="shared" si="2"/>
        <v>0</v>
      </c>
      <c r="D9" s="142">
        <f>B9*Eigenmittel_Förderung!$C$8</f>
        <v>1500</v>
      </c>
      <c r="E9" s="142">
        <f t="shared" si="0"/>
        <v>1500</v>
      </c>
    </row>
    <row r="10" spans="1:5">
      <c r="A10" s="139">
        <v>7</v>
      </c>
      <c r="B10" s="142">
        <f t="shared" si="1"/>
        <v>150000</v>
      </c>
      <c r="C10" s="142">
        <f t="shared" si="2"/>
        <v>0</v>
      </c>
      <c r="D10" s="142">
        <f>B10*Eigenmittel_Förderung!$C$8</f>
        <v>1500</v>
      </c>
      <c r="E10" s="142">
        <f t="shared" si="0"/>
        <v>1500</v>
      </c>
    </row>
    <row r="11" spans="1:5">
      <c r="A11" s="139">
        <v>8</v>
      </c>
      <c r="B11" s="142">
        <f t="shared" si="1"/>
        <v>150000</v>
      </c>
      <c r="C11" s="142">
        <f t="shared" si="2"/>
        <v>0</v>
      </c>
      <c r="D11" s="142">
        <f>B11*Eigenmittel_Förderung!$C$8</f>
        <v>1500</v>
      </c>
      <c r="E11" s="142">
        <f t="shared" si="0"/>
        <v>1500</v>
      </c>
    </row>
    <row r="12" spans="1:5">
      <c r="A12" s="139">
        <v>9</v>
      </c>
      <c r="B12" s="142">
        <f t="shared" si="1"/>
        <v>150000</v>
      </c>
      <c r="C12" s="142">
        <f t="shared" si="2"/>
        <v>0</v>
      </c>
      <c r="D12" s="142">
        <f>B12*Eigenmittel_Förderung!$C$8</f>
        <v>1500</v>
      </c>
      <c r="E12" s="142">
        <f t="shared" si="0"/>
        <v>1500</v>
      </c>
    </row>
    <row r="13" spans="1:5">
      <c r="A13" s="139">
        <v>10</v>
      </c>
      <c r="B13" s="142">
        <f t="shared" si="1"/>
        <v>150000</v>
      </c>
      <c r="C13" s="142">
        <f t="shared" si="2"/>
        <v>0</v>
      </c>
      <c r="D13" s="142">
        <f>B13*Eigenmittel_Förderung!$C$8</f>
        <v>1500</v>
      </c>
      <c r="E13" s="142">
        <f t="shared" si="0"/>
        <v>1500</v>
      </c>
    </row>
    <row r="14" spans="1:5">
      <c r="A14" s="139">
        <v>11</v>
      </c>
      <c r="B14" s="142">
        <f t="shared" si="1"/>
        <v>150000</v>
      </c>
      <c r="C14" s="142">
        <f t="shared" si="2"/>
        <v>0</v>
      </c>
      <c r="D14" s="142">
        <f>B14*Eigenmittel_Förderung!$C$8</f>
        <v>1500</v>
      </c>
      <c r="E14" s="142">
        <f t="shared" si="0"/>
        <v>1500</v>
      </c>
    </row>
    <row r="15" spans="1:5">
      <c r="A15" s="139">
        <v>12</v>
      </c>
      <c r="B15" s="142">
        <f t="shared" si="1"/>
        <v>150000</v>
      </c>
      <c r="C15" s="142">
        <f t="shared" si="2"/>
        <v>0</v>
      </c>
      <c r="D15" s="142">
        <f>B15*Eigenmittel_Förderung!$C$8</f>
        <v>1500</v>
      </c>
      <c r="E15" s="142">
        <f t="shared" si="0"/>
        <v>1500</v>
      </c>
    </row>
    <row r="16" spans="1:5">
      <c r="A16" s="139">
        <v>13</v>
      </c>
      <c r="B16" s="142">
        <f t="shared" si="1"/>
        <v>150000</v>
      </c>
      <c r="C16" s="142">
        <f t="shared" si="2"/>
        <v>0</v>
      </c>
      <c r="D16" s="142">
        <f>B16*Eigenmittel_Förderung!$C$8</f>
        <v>1500</v>
      </c>
      <c r="E16" s="142">
        <f t="shared" si="0"/>
        <v>1500</v>
      </c>
    </row>
    <row r="17" spans="1:5">
      <c r="A17" s="139">
        <v>14</v>
      </c>
      <c r="B17" s="142">
        <f t="shared" si="1"/>
        <v>150000</v>
      </c>
      <c r="C17" s="142">
        <f t="shared" si="2"/>
        <v>0</v>
      </c>
      <c r="D17" s="142">
        <f>B17*Eigenmittel_Förderung!$C$8</f>
        <v>1500</v>
      </c>
      <c r="E17" s="142">
        <f t="shared" si="0"/>
        <v>1500</v>
      </c>
    </row>
    <row r="18" spans="1:5">
      <c r="A18" s="139">
        <v>15</v>
      </c>
      <c r="B18" s="142">
        <f t="shared" si="1"/>
        <v>150000</v>
      </c>
      <c r="C18" s="142">
        <f t="shared" si="2"/>
        <v>0</v>
      </c>
      <c r="D18" s="142">
        <f>B18*Eigenmittel_Förderung!$C$8</f>
        <v>1500</v>
      </c>
      <c r="E18" s="142">
        <f t="shared" si="0"/>
        <v>1500</v>
      </c>
    </row>
    <row r="19" spans="1:5">
      <c r="A19" s="139">
        <v>16</v>
      </c>
      <c r="B19" s="142">
        <f t="shared" si="1"/>
        <v>150000</v>
      </c>
      <c r="C19" s="142">
        <f t="shared" si="2"/>
        <v>0</v>
      </c>
      <c r="D19" s="142">
        <f>B19*Eigenmittel_Förderung!$C$8</f>
        <v>1500</v>
      </c>
      <c r="E19" s="142">
        <f t="shared" si="0"/>
        <v>1500</v>
      </c>
    </row>
    <row r="20" spans="1:5">
      <c r="A20" s="139">
        <v>17</v>
      </c>
      <c r="B20" s="142">
        <f t="shared" si="1"/>
        <v>150000</v>
      </c>
      <c r="C20" s="142">
        <f t="shared" si="2"/>
        <v>0</v>
      </c>
      <c r="D20" s="142">
        <f>B20*Eigenmittel_Förderung!$C$8</f>
        <v>1500</v>
      </c>
      <c r="E20" s="142">
        <f t="shared" si="0"/>
        <v>1500</v>
      </c>
    </row>
    <row r="21" spans="1:5">
      <c r="A21" s="139">
        <v>18</v>
      </c>
      <c r="B21" s="142">
        <f t="shared" si="1"/>
        <v>150000</v>
      </c>
      <c r="C21" s="142">
        <f t="shared" si="2"/>
        <v>0</v>
      </c>
      <c r="D21" s="142">
        <f>B21*Eigenmittel_Förderung!$C$8</f>
        <v>1500</v>
      </c>
      <c r="E21" s="142">
        <f t="shared" si="0"/>
        <v>1500</v>
      </c>
    </row>
    <row r="22" spans="1:5">
      <c r="A22" s="139">
        <v>19</v>
      </c>
      <c r="B22" s="142">
        <f t="shared" si="1"/>
        <v>150000</v>
      </c>
      <c r="C22" s="142">
        <f t="shared" si="2"/>
        <v>0</v>
      </c>
      <c r="D22" s="142">
        <f>B22*Eigenmittel_Förderung!$C$8</f>
        <v>1500</v>
      </c>
      <c r="E22" s="142">
        <f t="shared" si="0"/>
        <v>1500</v>
      </c>
    </row>
    <row r="23" spans="1:5">
      <c r="A23" s="139">
        <v>20</v>
      </c>
      <c r="B23" s="142">
        <f t="shared" si="1"/>
        <v>150000</v>
      </c>
      <c r="C23" s="142">
        <f t="shared" si="2"/>
        <v>0</v>
      </c>
      <c r="D23" s="142">
        <f>B23*Eigenmittel_Förderung!$C$8</f>
        <v>1500</v>
      </c>
      <c r="E23" s="142">
        <f t="shared" si="0"/>
        <v>1500</v>
      </c>
    </row>
    <row r="24" spans="1:5">
      <c r="A24" s="139">
        <v>21</v>
      </c>
      <c r="B24" s="142">
        <f t="shared" si="1"/>
        <v>150000</v>
      </c>
      <c r="C24" s="142">
        <f t="shared" si="2"/>
        <v>0</v>
      </c>
      <c r="D24" s="142">
        <f>B24*Eigenmittel_Förderung!$C$8</f>
        <v>1500</v>
      </c>
      <c r="E24" s="142">
        <f t="shared" si="0"/>
        <v>1500</v>
      </c>
    </row>
    <row r="25" spans="1:5">
      <c r="A25" s="139">
        <v>22</v>
      </c>
      <c r="B25" s="142">
        <f t="shared" si="1"/>
        <v>150000</v>
      </c>
      <c r="C25" s="142">
        <f t="shared" si="2"/>
        <v>0</v>
      </c>
      <c r="D25" s="142">
        <f>B25*Eigenmittel_Förderung!$C$8</f>
        <v>1500</v>
      </c>
      <c r="E25" s="142">
        <f t="shared" si="0"/>
        <v>1500</v>
      </c>
    </row>
    <row r="26" spans="1:5">
      <c r="A26" s="139">
        <v>23</v>
      </c>
      <c r="B26" s="142">
        <f t="shared" si="1"/>
        <v>150000</v>
      </c>
      <c r="C26" s="142">
        <f t="shared" si="2"/>
        <v>0</v>
      </c>
      <c r="D26" s="142">
        <f>B26*Eigenmittel_Förderung!$C$8</f>
        <v>1500</v>
      </c>
      <c r="E26" s="142">
        <f t="shared" si="0"/>
        <v>1500</v>
      </c>
    </row>
    <row r="27" spans="1:5">
      <c r="A27" s="139">
        <v>24</v>
      </c>
      <c r="B27" s="142">
        <f t="shared" si="1"/>
        <v>150000</v>
      </c>
      <c r="C27" s="142">
        <f t="shared" si="2"/>
        <v>0</v>
      </c>
      <c r="D27" s="142">
        <f>B27*Eigenmittel_Förderung!$C$8</f>
        <v>1500</v>
      </c>
      <c r="E27" s="142">
        <f t="shared" si="0"/>
        <v>1500</v>
      </c>
    </row>
    <row r="28" spans="1:5">
      <c r="A28" s="139">
        <v>25</v>
      </c>
      <c r="B28" s="142">
        <f t="shared" si="1"/>
        <v>150000</v>
      </c>
      <c r="C28" s="142">
        <f t="shared" si="2"/>
        <v>0</v>
      </c>
      <c r="D28" s="142">
        <f>B28*Eigenmittel_Förderung!$C$8</f>
        <v>1500</v>
      </c>
      <c r="E28" s="142">
        <f t="shared" si="0"/>
        <v>1500</v>
      </c>
    </row>
    <row r="29" spans="1:5">
      <c r="A29" s="139">
        <v>26</v>
      </c>
      <c r="B29" s="142">
        <f t="shared" si="1"/>
        <v>150000</v>
      </c>
      <c r="C29" s="142">
        <f t="shared" si="2"/>
        <v>0</v>
      </c>
      <c r="D29" s="142">
        <f>B29*Eigenmittel_Förderung!$C$8</f>
        <v>1500</v>
      </c>
      <c r="E29" s="142">
        <f t="shared" si="0"/>
        <v>1500</v>
      </c>
    </row>
    <row r="30" spans="1:5">
      <c r="A30" s="139">
        <v>27</v>
      </c>
      <c r="B30" s="142">
        <f t="shared" si="1"/>
        <v>150000</v>
      </c>
      <c r="C30" s="142">
        <f t="shared" si="2"/>
        <v>0</v>
      </c>
      <c r="D30" s="142">
        <f>B30*Eigenmittel_Förderung!$C$8</f>
        <v>1500</v>
      </c>
      <c r="E30" s="142">
        <f t="shared" si="0"/>
        <v>1500</v>
      </c>
    </row>
    <row r="31" spans="1:5">
      <c r="A31" s="139">
        <v>28</v>
      </c>
      <c r="B31" s="142">
        <f t="shared" si="1"/>
        <v>150000</v>
      </c>
      <c r="C31" s="142">
        <f t="shared" si="2"/>
        <v>0</v>
      </c>
      <c r="D31" s="142">
        <f>B31*Eigenmittel_Förderung!$C$8</f>
        <v>1500</v>
      </c>
      <c r="E31" s="142">
        <f t="shared" si="0"/>
        <v>1500</v>
      </c>
    </row>
    <row r="32" spans="1:5">
      <c r="A32" s="139">
        <v>29</v>
      </c>
      <c r="B32" s="142">
        <f t="shared" si="1"/>
        <v>150000</v>
      </c>
      <c r="C32" s="142">
        <f t="shared" si="2"/>
        <v>0</v>
      </c>
      <c r="D32" s="142">
        <f>B32*Eigenmittel_Förderung!$C$8</f>
        <v>1500</v>
      </c>
      <c r="E32" s="142">
        <f t="shared" si="0"/>
        <v>1500</v>
      </c>
    </row>
    <row r="33" spans="1:5">
      <c r="A33" s="139">
        <v>30</v>
      </c>
      <c r="B33" s="139"/>
      <c r="C33" s="139"/>
      <c r="D33" s="139"/>
      <c r="E33" s="139"/>
    </row>
    <row r="34" spans="1:5">
      <c r="A34" s="1">
        <v>31</v>
      </c>
    </row>
    <row r="35" spans="1:5">
      <c r="A35" s="1">
        <v>32</v>
      </c>
    </row>
    <row r="36" spans="1:5">
      <c r="A36" s="1">
        <v>33</v>
      </c>
    </row>
    <row r="37" spans="1:5">
      <c r="A37" s="1">
        <v>34</v>
      </c>
    </row>
    <row r="38" spans="1:5">
      <c r="A38" s="1">
        <v>35</v>
      </c>
    </row>
    <row r="39" spans="1:5">
      <c r="A39" s="1">
        <v>36</v>
      </c>
    </row>
    <row r="40" spans="1:5">
      <c r="A40" s="1">
        <v>37</v>
      </c>
    </row>
    <row r="41" spans="1:5">
      <c r="A41" s="1">
        <v>38</v>
      </c>
    </row>
    <row r="42" spans="1:5">
      <c r="A42" s="1">
        <v>39</v>
      </c>
    </row>
    <row r="43" spans="1:5">
      <c r="A43" s="1">
        <v>40</v>
      </c>
    </row>
    <row r="44" spans="1:5">
      <c r="A44" s="1">
        <v>41</v>
      </c>
    </row>
    <row r="45" spans="1:5">
      <c r="A45" s="1">
        <v>42</v>
      </c>
    </row>
    <row r="46" spans="1:5">
      <c r="A46" s="1">
        <v>43</v>
      </c>
    </row>
    <row r="47" spans="1:5">
      <c r="A47" s="1">
        <v>44</v>
      </c>
    </row>
    <row r="48" spans="1:5">
      <c r="A48" s="1">
        <v>45</v>
      </c>
    </row>
    <row r="49" spans="1:1">
      <c r="A49" s="1">
        <v>46</v>
      </c>
    </row>
    <row r="50" spans="1:1">
      <c r="A50" s="1">
        <v>47</v>
      </c>
    </row>
    <row r="51" spans="1:1">
      <c r="A51" s="1">
        <v>48</v>
      </c>
    </row>
    <row r="52" spans="1:1">
      <c r="A52" s="1">
        <v>49</v>
      </c>
    </row>
    <row r="53" spans="1:1">
      <c r="A53" s="1">
        <v>50</v>
      </c>
    </row>
    <row r="54" spans="1:1">
      <c r="A54" s="1">
        <v>51</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546E-17C1-4E09-A66D-7A898F1AD17F}">
  <dimension ref="B2:L27"/>
  <sheetViews>
    <sheetView topLeftCell="A13" workbookViewId="0">
      <selection activeCell="E25" sqref="E25"/>
    </sheetView>
  </sheetViews>
  <sheetFormatPr baseColWidth="10" defaultColWidth="11.42578125" defaultRowHeight="18"/>
  <cols>
    <col min="1" max="1" width="11.42578125" style="9"/>
    <col min="2" max="2" width="22.7109375" style="9" customWidth="1"/>
    <col min="3" max="3" width="11.42578125" style="9"/>
    <col min="4" max="5" width="18" style="9" bestFit="1" customWidth="1"/>
    <col min="6" max="7" width="11.42578125" style="9"/>
    <col min="8" max="8" width="18" style="9" bestFit="1" customWidth="1"/>
    <col min="9" max="9" width="11.42578125" style="9"/>
    <col min="10" max="12" width="18" style="9" bestFit="1" customWidth="1"/>
    <col min="13" max="16384" width="11.42578125" style="9"/>
  </cols>
  <sheetData>
    <row r="2" spans="2:12">
      <c r="B2" s="21" t="s">
        <v>73</v>
      </c>
    </row>
    <row r="4" spans="2:12">
      <c r="B4" s="129" t="s">
        <v>108</v>
      </c>
      <c r="C4" s="129"/>
      <c r="D4" s="129"/>
      <c r="E4" s="129"/>
      <c r="F4" s="129"/>
      <c r="G4" s="129"/>
      <c r="H4" s="143">
        <f>'Investition Neubau'!C38-Eigenmittel_Förderung!E72</f>
        <v>2773026</v>
      </c>
      <c r="J4" s="22"/>
      <c r="K4" s="22"/>
      <c r="L4" s="22"/>
    </row>
    <row r="5" spans="2:12">
      <c r="H5" s="22"/>
      <c r="L5" s="22"/>
    </row>
    <row r="6" spans="2:12">
      <c r="B6" s="9" t="s">
        <v>106</v>
      </c>
      <c r="L6" s="22"/>
    </row>
    <row r="7" spans="2:12">
      <c r="B7" s="9" t="s">
        <v>40</v>
      </c>
    </row>
    <row r="8" spans="2:12">
      <c r="B8" s="9" t="s">
        <v>69</v>
      </c>
      <c r="C8" s="9">
        <v>298</v>
      </c>
      <c r="D8" s="9" t="s">
        <v>101</v>
      </c>
    </row>
    <row r="9" spans="2:12">
      <c r="B9" s="9" t="s">
        <v>104</v>
      </c>
      <c r="D9" s="10">
        <v>100000</v>
      </c>
      <c r="E9" s="9" t="s">
        <v>105</v>
      </c>
    </row>
    <row r="10" spans="2:12">
      <c r="B10" s="9" t="s">
        <v>104</v>
      </c>
      <c r="D10" s="10">
        <v>150000</v>
      </c>
      <c r="E10" s="9" t="s">
        <v>107</v>
      </c>
    </row>
    <row r="11" spans="2:12">
      <c r="B11" s="9" t="s">
        <v>71</v>
      </c>
      <c r="H11" s="33">
        <v>23</v>
      </c>
    </row>
    <row r="12" spans="2:12">
      <c r="B12" s="9" t="s">
        <v>72</v>
      </c>
      <c r="H12" s="33">
        <f>SUM(Wohnungen!K16:K26)</f>
        <v>371</v>
      </c>
    </row>
    <row r="13" spans="2:12">
      <c r="B13" s="129" t="s">
        <v>103</v>
      </c>
      <c r="C13" s="129"/>
      <c r="D13" s="129"/>
      <c r="E13" s="129"/>
      <c r="F13" s="129"/>
      <c r="G13" s="129"/>
      <c r="H13" s="127">
        <f>H11*D9</f>
        <v>2300000</v>
      </c>
      <c r="I13" s="9" t="s">
        <v>129</v>
      </c>
    </row>
    <row r="14" spans="2:12">
      <c r="H14" s="10"/>
    </row>
    <row r="16" spans="2:12">
      <c r="B16" s="6"/>
      <c r="C16" s="5" t="s">
        <v>24</v>
      </c>
      <c r="D16" s="5"/>
      <c r="E16" s="25">
        <v>2.6100000000000002E-2</v>
      </c>
      <c r="F16" s="5"/>
    </row>
    <row r="17" spans="2:6">
      <c r="B17" s="6"/>
      <c r="C17" s="5" t="s">
        <v>25</v>
      </c>
      <c r="D17" s="5"/>
      <c r="E17" s="18">
        <v>10</v>
      </c>
      <c r="F17" s="5" t="s">
        <v>27</v>
      </c>
    </row>
    <row r="18" spans="2:6">
      <c r="B18" s="6"/>
      <c r="C18" s="9" t="s">
        <v>26</v>
      </c>
      <c r="E18" s="25">
        <v>2.3E-2</v>
      </c>
      <c r="F18" s="5"/>
    </row>
    <row r="19" spans="2:6">
      <c r="B19" s="6"/>
      <c r="C19" s="5" t="s">
        <v>13</v>
      </c>
      <c r="D19" s="5"/>
      <c r="E19" s="18">
        <v>30</v>
      </c>
      <c r="F19" s="5" t="s">
        <v>27</v>
      </c>
    </row>
    <row r="20" spans="2:6">
      <c r="B20" s="6"/>
      <c r="C20" s="5"/>
      <c r="D20" s="5"/>
      <c r="E20" s="18"/>
      <c r="F20" s="5"/>
    </row>
    <row r="21" spans="2:6">
      <c r="B21" s="132" t="s">
        <v>30</v>
      </c>
      <c r="C21" s="132"/>
      <c r="D21" s="132"/>
      <c r="E21" s="124">
        <f>E22/12</f>
        <v>9410.8333333333339</v>
      </c>
      <c r="F21" s="5"/>
    </row>
    <row r="22" spans="2:6">
      <c r="B22" s="135" t="s">
        <v>29</v>
      </c>
      <c r="C22" s="132"/>
      <c r="D22" s="132"/>
      <c r="E22" s="127">
        <f>'KFW Kapitaldienst'!E4</f>
        <v>112930</v>
      </c>
      <c r="F22" s="5"/>
    </row>
    <row r="26" spans="2:6">
      <c r="B26" s="110" t="s">
        <v>118</v>
      </c>
      <c r="D26" s="9" t="s">
        <v>106</v>
      </c>
    </row>
    <row r="27" spans="2:6" ht="33.75">
      <c r="B27" s="109" t="s">
        <v>117</v>
      </c>
    </row>
  </sheetData>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4B373-E7A1-41EC-83E4-BF774C0BACF1}">
  <dimension ref="A1:E53"/>
  <sheetViews>
    <sheetView workbookViewId="0">
      <selection activeCell="J24" sqref="J24"/>
    </sheetView>
  </sheetViews>
  <sheetFormatPr baseColWidth="10" defaultRowHeight="12.75"/>
  <cols>
    <col min="2" max="2" width="18" style="24" customWidth="1"/>
    <col min="3" max="3" width="11.7109375" bestFit="1" customWidth="1"/>
  </cols>
  <sheetData>
    <row r="1" spans="1:5">
      <c r="A1" s="144" t="s">
        <v>1</v>
      </c>
      <c r="B1" s="145"/>
      <c r="C1" s="146"/>
      <c r="D1" s="146"/>
      <c r="E1" s="146"/>
    </row>
    <row r="2" spans="1:5">
      <c r="A2" s="147" t="s">
        <v>3</v>
      </c>
      <c r="B2" s="148"/>
      <c r="C2" s="142"/>
      <c r="D2" s="142"/>
      <c r="E2" s="142"/>
    </row>
    <row r="3" spans="1:5">
      <c r="A3" s="147" t="s">
        <v>5</v>
      </c>
      <c r="B3" s="149" t="s">
        <v>6</v>
      </c>
      <c r="C3" s="141" t="s">
        <v>7</v>
      </c>
      <c r="D3" s="141" t="s">
        <v>8</v>
      </c>
      <c r="E3" s="141" t="s">
        <v>9</v>
      </c>
    </row>
    <row r="4" spans="1:5">
      <c r="A4" s="150">
        <v>1</v>
      </c>
      <c r="B4" s="148">
        <f>KFW!H13</f>
        <v>2300000</v>
      </c>
      <c r="C4" s="142">
        <f>B4*KFW!E18</f>
        <v>52900</v>
      </c>
      <c r="D4" s="142">
        <f>B4*KFW!$E$16</f>
        <v>60030.000000000007</v>
      </c>
      <c r="E4" s="142">
        <f t="shared" ref="E4:E33" si="0">C4+D4</f>
        <v>112930</v>
      </c>
    </row>
    <row r="5" spans="1:5">
      <c r="A5" s="150">
        <v>2</v>
      </c>
      <c r="B5" s="148">
        <f t="shared" ref="B5:B33" si="1">B4-C4</f>
        <v>2247100</v>
      </c>
      <c r="C5" s="142">
        <f>E4-D5</f>
        <v>54280.689999999995</v>
      </c>
      <c r="D5" s="142">
        <f>B5*KFW!$E$16</f>
        <v>58649.310000000005</v>
      </c>
      <c r="E5" s="142">
        <f t="shared" si="0"/>
        <v>112930</v>
      </c>
    </row>
    <row r="6" spans="1:5">
      <c r="A6" s="150">
        <v>3</v>
      </c>
      <c r="B6" s="148">
        <f t="shared" si="1"/>
        <v>2192819.31</v>
      </c>
      <c r="C6" s="142">
        <f t="shared" ref="C6:C33" si="2">E5-D6</f>
        <v>55697.416008999993</v>
      </c>
      <c r="D6" s="142">
        <f>B6*KFW!$E$16</f>
        <v>57232.583991000007</v>
      </c>
      <c r="E6" s="142">
        <f t="shared" si="0"/>
        <v>112930</v>
      </c>
    </row>
    <row r="7" spans="1:5">
      <c r="A7" s="150">
        <v>4</v>
      </c>
      <c r="B7" s="148">
        <f t="shared" si="1"/>
        <v>2137121.893991</v>
      </c>
      <c r="C7" s="142">
        <f t="shared" si="2"/>
        <v>57151.118566834899</v>
      </c>
      <c r="D7" s="142">
        <f>B7*KFW!$E$16</f>
        <v>55778.881433165101</v>
      </c>
      <c r="E7" s="142">
        <f t="shared" si="0"/>
        <v>112930</v>
      </c>
    </row>
    <row r="8" spans="1:5">
      <c r="A8" s="150">
        <v>5</v>
      </c>
      <c r="B8" s="148">
        <f t="shared" si="1"/>
        <v>2079970.7754241652</v>
      </c>
      <c r="C8" s="142">
        <f t="shared" si="2"/>
        <v>58642.762761429287</v>
      </c>
      <c r="D8" s="142">
        <f>B8*KFW!$E$16</f>
        <v>54287.237238570713</v>
      </c>
      <c r="E8" s="142">
        <f t="shared" si="0"/>
        <v>112930</v>
      </c>
    </row>
    <row r="9" spans="1:5">
      <c r="A9" s="150">
        <v>6</v>
      </c>
      <c r="B9" s="148">
        <f t="shared" si="1"/>
        <v>2021328.012662736</v>
      </c>
      <c r="C9" s="142">
        <f t="shared" si="2"/>
        <v>60173.338869502586</v>
      </c>
      <c r="D9" s="142">
        <f>B9*KFW!$E$16</f>
        <v>52756.661130497414</v>
      </c>
      <c r="E9" s="142">
        <f t="shared" si="0"/>
        <v>112930</v>
      </c>
    </row>
    <row r="10" spans="1:5">
      <c r="A10" s="150">
        <v>7</v>
      </c>
      <c r="B10" s="148">
        <f t="shared" si="1"/>
        <v>1961154.6737932335</v>
      </c>
      <c r="C10" s="142">
        <f t="shared" si="2"/>
        <v>61743.863013996604</v>
      </c>
      <c r="D10" s="142">
        <f>B10*KFW!$E$16</f>
        <v>51186.136986003396</v>
      </c>
      <c r="E10" s="142">
        <f t="shared" si="0"/>
        <v>112930</v>
      </c>
    </row>
    <row r="11" spans="1:5">
      <c r="A11" s="150">
        <v>8</v>
      </c>
      <c r="B11" s="148">
        <f t="shared" si="1"/>
        <v>1899410.810779237</v>
      </c>
      <c r="C11" s="142">
        <f t="shared" si="2"/>
        <v>63355.377838661909</v>
      </c>
      <c r="D11" s="142">
        <f>B11*KFW!$E$16</f>
        <v>49574.622161338091</v>
      </c>
      <c r="E11" s="142">
        <f t="shared" si="0"/>
        <v>112930</v>
      </c>
    </row>
    <row r="12" spans="1:5">
      <c r="A12" s="150">
        <v>9</v>
      </c>
      <c r="B12" s="148">
        <f t="shared" si="1"/>
        <v>1836055.4329405751</v>
      </c>
      <c r="C12" s="142">
        <f t="shared" si="2"/>
        <v>65008.953200250988</v>
      </c>
      <c r="D12" s="142">
        <f>B12*KFW!$E$16</f>
        <v>47921.046799749012</v>
      </c>
      <c r="E12" s="142">
        <f t="shared" si="0"/>
        <v>112930</v>
      </c>
    </row>
    <row r="13" spans="1:5">
      <c r="A13" s="150">
        <v>10</v>
      </c>
      <c r="B13" s="148">
        <f t="shared" si="1"/>
        <v>1771046.479740324</v>
      </c>
      <c r="C13" s="142">
        <f t="shared" si="2"/>
        <v>66705.686878777546</v>
      </c>
      <c r="D13" s="142">
        <f>B13*KFW!$E$16</f>
        <v>46224.313121222462</v>
      </c>
      <c r="E13" s="142">
        <f t="shared" si="0"/>
        <v>112930</v>
      </c>
    </row>
    <row r="14" spans="1:5">
      <c r="A14" s="150">
        <v>11</v>
      </c>
      <c r="B14" s="148">
        <f t="shared" si="1"/>
        <v>1704340.7928615464</v>
      </c>
      <c r="C14" s="142">
        <f t="shared" si="2"/>
        <v>68446.705306313641</v>
      </c>
      <c r="D14" s="142">
        <f>B14*KFW!$E$16</f>
        <v>44483.294693686366</v>
      </c>
      <c r="E14" s="142">
        <f t="shared" si="0"/>
        <v>112930</v>
      </c>
    </row>
    <row r="15" spans="1:5">
      <c r="A15" s="150">
        <v>12</v>
      </c>
      <c r="B15" s="148">
        <f t="shared" si="1"/>
        <v>1635894.0875552327</v>
      </c>
      <c r="C15" s="142">
        <f t="shared" si="2"/>
        <v>70233.164314808426</v>
      </c>
      <c r="D15" s="142">
        <f>B15*KFW!$E$16</f>
        <v>42696.835685191574</v>
      </c>
      <c r="E15" s="142">
        <f t="shared" si="0"/>
        <v>112930</v>
      </c>
    </row>
    <row r="16" spans="1:5">
      <c r="A16" s="150">
        <v>13</v>
      </c>
      <c r="B16" s="148">
        <f t="shared" si="1"/>
        <v>1565660.9232404244</v>
      </c>
      <c r="C16" s="142">
        <f t="shared" si="2"/>
        <v>72066.249903424919</v>
      </c>
      <c r="D16" s="142">
        <f>B16*KFW!$E$16</f>
        <v>40863.750096575081</v>
      </c>
      <c r="E16" s="142">
        <f t="shared" si="0"/>
        <v>112930</v>
      </c>
    </row>
    <row r="17" spans="1:5">
      <c r="A17" s="150">
        <v>14</v>
      </c>
      <c r="B17" s="148">
        <f t="shared" si="1"/>
        <v>1493594.6733369995</v>
      </c>
      <c r="C17" s="142">
        <f t="shared" si="2"/>
        <v>73947.179025904305</v>
      </c>
      <c r="D17" s="142">
        <f>B17*KFW!$E$16</f>
        <v>38982.820974095688</v>
      </c>
      <c r="E17" s="142">
        <f t="shared" si="0"/>
        <v>112930</v>
      </c>
    </row>
    <row r="18" spans="1:5">
      <c r="A18" s="150">
        <v>15</v>
      </c>
      <c r="B18" s="148">
        <f t="shared" si="1"/>
        <v>1419647.4943110952</v>
      </c>
      <c r="C18" s="142">
        <f t="shared" si="2"/>
        <v>75877.200398480403</v>
      </c>
      <c r="D18" s="142">
        <f>B18*KFW!$E$16</f>
        <v>37052.799601519589</v>
      </c>
      <c r="E18" s="142">
        <f t="shared" si="0"/>
        <v>112930</v>
      </c>
    </row>
    <row r="19" spans="1:5">
      <c r="A19" s="150">
        <v>16</v>
      </c>
      <c r="B19" s="148">
        <f t="shared" si="1"/>
        <v>1343770.2939126147</v>
      </c>
      <c r="C19" s="142">
        <f t="shared" si="2"/>
        <v>77857.595328880765</v>
      </c>
      <c r="D19" s="142">
        <f>B19*KFW!$E$16</f>
        <v>35072.404671119242</v>
      </c>
      <c r="E19" s="142">
        <f t="shared" si="0"/>
        <v>112930</v>
      </c>
    </row>
    <row r="20" spans="1:5">
      <c r="A20" s="150">
        <v>17</v>
      </c>
      <c r="B20" s="148">
        <f t="shared" si="1"/>
        <v>1265912.698583734</v>
      </c>
      <c r="C20" s="142">
        <f t="shared" si="2"/>
        <v>79889.678566964547</v>
      </c>
      <c r="D20" s="142">
        <f>B20*KFW!$E$16</f>
        <v>33040.32143303546</v>
      </c>
      <c r="E20" s="142">
        <f t="shared" si="0"/>
        <v>112930</v>
      </c>
    </row>
    <row r="21" spans="1:5">
      <c r="A21" s="150">
        <v>18</v>
      </c>
      <c r="B21" s="148">
        <f t="shared" si="1"/>
        <v>1186023.0200167694</v>
      </c>
      <c r="C21" s="142">
        <f t="shared" si="2"/>
        <v>81974.799177562323</v>
      </c>
      <c r="D21" s="142">
        <f>B21*KFW!$E$16</f>
        <v>30955.200822437684</v>
      </c>
      <c r="E21" s="142">
        <f t="shared" si="0"/>
        <v>112930</v>
      </c>
    </row>
    <row r="22" spans="1:5">
      <c r="A22" s="150">
        <v>19</v>
      </c>
      <c r="B22" s="148">
        <f t="shared" si="1"/>
        <v>1104048.2208392071</v>
      </c>
      <c r="C22" s="142">
        <f t="shared" si="2"/>
        <v>84114.3414360967</v>
      </c>
      <c r="D22" s="142">
        <f>B22*KFW!$E$16</f>
        <v>28815.658563903307</v>
      </c>
      <c r="E22" s="142">
        <f t="shared" si="0"/>
        <v>112930</v>
      </c>
    </row>
    <row r="23" spans="1:5">
      <c r="A23" s="150">
        <v>20</v>
      </c>
      <c r="B23" s="148">
        <f t="shared" si="1"/>
        <v>1019933.8794031104</v>
      </c>
      <c r="C23" s="142">
        <f t="shared" si="2"/>
        <v>86309.725747578821</v>
      </c>
      <c r="D23" s="142">
        <f>B23*KFW!$E$16</f>
        <v>26620.274252421183</v>
      </c>
      <c r="E23" s="142">
        <f t="shared" si="0"/>
        <v>112930</v>
      </c>
    </row>
    <row r="24" spans="1:5">
      <c r="A24" s="150">
        <v>21</v>
      </c>
      <c r="B24" s="148">
        <f t="shared" si="1"/>
        <v>933624.15365553158</v>
      </c>
      <c r="C24" s="142">
        <f t="shared" si="2"/>
        <v>88562.409589590621</v>
      </c>
      <c r="D24" s="142">
        <f>B24*KFW!$E$16</f>
        <v>24367.590410409375</v>
      </c>
      <c r="E24" s="142">
        <f t="shared" si="0"/>
        <v>112930</v>
      </c>
    </row>
    <row r="25" spans="1:5">
      <c r="A25" s="150">
        <v>22</v>
      </c>
      <c r="B25" s="148">
        <f t="shared" si="1"/>
        <v>845061.74406594096</v>
      </c>
      <c r="C25" s="142">
        <f t="shared" si="2"/>
        <v>90873.888479878937</v>
      </c>
      <c r="D25" s="142">
        <f>B25*KFW!$E$16</f>
        <v>22056.11152012106</v>
      </c>
      <c r="E25" s="142">
        <f t="shared" si="0"/>
        <v>112930</v>
      </c>
    </row>
    <row r="26" spans="1:5">
      <c r="A26" s="150">
        <v>23</v>
      </c>
      <c r="B26" s="148">
        <f t="shared" si="1"/>
        <v>754187.85558606207</v>
      </c>
      <c r="C26" s="142">
        <f t="shared" si="2"/>
        <v>93245.696969203782</v>
      </c>
      <c r="D26" s="142">
        <f>B26*KFW!$E$16</f>
        <v>19684.303030796222</v>
      </c>
      <c r="E26" s="142">
        <f t="shared" si="0"/>
        <v>112930</v>
      </c>
    </row>
    <row r="27" spans="1:5">
      <c r="A27" s="150">
        <v>24</v>
      </c>
      <c r="B27" s="148">
        <f t="shared" si="1"/>
        <v>660942.1586168583</v>
      </c>
      <c r="C27" s="142">
        <f t="shared" si="2"/>
        <v>95679.409660100006</v>
      </c>
      <c r="D27" s="142">
        <f>B27*KFW!$E$16</f>
        <v>17250.590339900002</v>
      </c>
      <c r="E27" s="142">
        <f t="shared" si="0"/>
        <v>112930</v>
      </c>
    </row>
    <row r="28" spans="1:5">
      <c r="A28" s="150">
        <v>25</v>
      </c>
      <c r="B28" s="148">
        <f t="shared" si="1"/>
        <v>565262.7489567583</v>
      </c>
      <c r="C28" s="142">
        <f t="shared" si="2"/>
        <v>98176.642252228601</v>
      </c>
      <c r="D28" s="142">
        <f>B28*KFW!$E$16</f>
        <v>14753.357747771392</v>
      </c>
      <c r="E28" s="142">
        <f t="shared" si="0"/>
        <v>112930</v>
      </c>
    </row>
    <row r="29" spans="1:5">
      <c r="A29" s="150">
        <v>26</v>
      </c>
      <c r="B29" s="148">
        <f t="shared" si="1"/>
        <v>467086.10670452972</v>
      </c>
      <c r="C29" s="142">
        <f t="shared" si="2"/>
        <v>100739.05261501178</v>
      </c>
      <c r="D29" s="142">
        <f>B29*KFW!$E$16</f>
        <v>12190.947384988227</v>
      </c>
      <c r="E29" s="142">
        <f t="shared" si="0"/>
        <v>112930</v>
      </c>
    </row>
    <row r="30" spans="1:5">
      <c r="A30" s="150">
        <v>27</v>
      </c>
      <c r="B30" s="148">
        <f t="shared" si="1"/>
        <v>366347.05408951791</v>
      </c>
      <c r="C30" s="142">
        <f t="shared" si="2"/>
        <v>103368.34188826359</v>
      </c>
      <c r="D30" s="142">
        <f>B30*KFW!$E$16</f>
        <v>9561.6581117364185</v>
      </c>
      <c r="E30" s="142">
        <f t="shared" si="0"/>
        <v>112930</v>
      </c>
    </row>
    <row r="31" spans="1:5">
      <c r="A31" s="150">
        <v>28</v>
      </c>
      <c r="B31" s="148">
        <f t="shared" si="1"/>
        <v>262978.71220125433</v>
      </c>
      <c r="C31" s="142">
        <f t="shared" si="2"/>
        <v>106066.25561154727</v>
      </c>
      <c r="D31" s="142">
        <f>B31*KFW!$E$16</f>
        <v>6863.7443884527383</v>
      </c>
      <c r="E31" s="142">
        <f t="shared" si="0"/>
        <v>112930</v>
      </c>
    </row>
    <row r="32" spans="1:5">
      <c r="A32" s="150">
        <v>29</v>
      </c>
      <c r="B32" s="148">
        <f t="shared" si="1"/>
        <v>156912.45658970706</v>
      </c>
      <c r="C32" s="142">
        <f t="shared" si="2"/>
        <v>108834.58488300865</v>
      </c>
      <c r="D32" s="142">
        <f>B32*KFW!$E$16</f>
        <v>4095.4151169913544</v>
      </c>
      <c r="E32" s="142">
        <f t="shared" si="0"/>
        <v>112930</v>
      </c>
    </row>
    <row r="33" spans="1:5">
      <c r="A33" s="150">
        <v>30</v>
      </c>
      <c r="B33" s="148">
        <f t="shared" si="1"/>
        <v>48077.87170669841</v>
      </c>
      <c r="C33" s="142">
        <f t="shared" si="2"/>
        <v>111675.16754845517</v>
      </c>
      <c r="D33" s="142">
        <f>B33*KFW!$E$16</f>
        <v>1254.8324515448285</v>
      </c>
      <c r="E33" s="142">
        <f t="shared" si="0"/>
        <v>112930</v>
      </c>
    </row>
    <row r="34" spans="1:5">
      <c r="A34" s="150">
        <v>31</v>
      </c>
      <c r="B34" s="148"/>
      <c r="C34" s="142"/>
      <c r="D34" s="142"/>
      <c r="E34" s="142"/>
    </row>
    <row r="35" spans="1:5">
      <c r="A35" s="4">
        <v>32</v>
      </c>
      <c r="C35" s="3"/>
      <c r="D35" s="3"/>
      <c r="E35" s="3"/>
    </row>
    <row r="36" spans="1:5">
      <c r="A36" s="4">
        <v>33</v>
      </c>
      <c r="C36" s="3"/>
      <c r="D36" s="3"/>
      <c r="E36" s="3"/>
    </row>
    <row r="37" spans="1:5">
      <c r="A37" s="4">
        <v>34</v>
      </c>
      <c r="C37" s="3"/>
      <c r="D37" s="3"/>
      <c r="E37" s="3"/>
    </row>
    <row r="38" spans="1:5">
      <c r="A38" s="4">
        <v>35</v>
      </c>
      <c r="C38" s="3"/>
      <c r="D38" s="3"/>
      <c r="E38" s="3"/>
    </row>
    <row r="39" spans="1:5">
      <c r="A39" s="4">
        <v>36</v>
      </c>
      <c r="C39" s="3"/>
      <c r="D39" s="3"/>
      <c r="E39" s="3"/>
    </row>
    <row r="40" spans="1:5">
      <c r="A40" s="4">
        <v>37</v>
      </c>
      <c r="C40" s="3"/>
      <c r="D40" s="3"/>
      <c r="E40" s="3"/>
    </row>
    <row r="41" spans="1:5">
      <c r="A41" s="4">
        <v>38</v>
      </c>
      <c r="C41" s="3"/>
      <c r="D41" s="3"/>
      <c r="E41" s="3"/>
    </row>
    <row r="42" spans="1:5">
      <c r="A42" s="4">
        <v>39</v>
      </c>
      <c r="C42" s="3"/>
      <c r="D42" s="3"/>
      <c r="E42" s="3"/>
    </row>
    <row r="43" spans="1:5">
      <c r="A43" s="4">
        <v>40</v>
      </c>
      <c r="C43" s="3"/>
      <c r="D43" s="3"/>
      <c r="E43" s="3"/>
    </row>
    <row r="44" spans="1:5">
      <c r="A44" s="4">
        <v>41</v>
      </c>
      <c r="C44" s="3"/>
      <c r="D44" s="3"/>
      <c r="E44" s="3"/>
    </row>
    <row r="45" spans="1:5">
      <c r="A45" s="4">
        <v>42</v>
      </c>
      <c r="C45" s="3"/>
      <c r="D45" s="3"/>
      <c r="E45" s="3"/>
    </row>
    <row r="46" spans="1:5">
      <c r="A46" s="4">
        <v>43</v>
      </c>
      <c r="C46" s="3"/>
      <c r="D46" s="3"/>
      <c r="E46" s="3"/>
    </row>
    <row r="47" spans="1:5">
      <c r="A47" s="4">
        <v>44</v>
      </c>
      <c r="C47" s="3"/>
      <c r="D47" s="3"/>
      <c r="E47" s="3"/>
    </row>
    <row r="48" spans="1:5">
      <c r="A48" s="4">
        <v>45</v>
      </c>
      <c r="C48" s="3"/>
      <c r="D48" s="3"/>
      <c r="E48" s="3"/>
    </row>
    <row r="49" spans="1:5">
      <c r="A49" s="4">
        <v>46</v>
      </c>
      <c r="C49" s="3"/>
      <c r="D49" s="3"/>
      <c r="E49" s="3"/>
    </row>
    <row r="50" spans="1:5">
      <c r="A50" s="4">
        <v>47</v>
      </c>
      <c r="C50" s="3"/>
      <c r="D50" s="3"/>
      <c r="E50" s="3"/>
    </row>
    <row r="51" spans="1:5">
      <c r="A51" s="4">
        <v>48</v>
      </c>
      <c r="C51" s="3"/>
      <c r="D51" s="3"/>
      <c r="E51" s="3"/>
    </row>
    <row r="52" spans="1:5">
      <c r="A52" s="4">
        <v>49</v>
      </c>
      <c r="C52" s="3"/>
      <c r="D52" s="3"/>
      <c r="E52" s="3"/>
    </row>
    <row r="53" spans="1:5">
      <c r="A53" s="4">
        <v>50</v>
      </c>
      <c r="C53" s="3"/>
      <c r="D53" s="3"/>
      <c r="E53" s="3"/>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CBDEC-DFA3-4068-A1A1-77D795E5C811}">
  <dimension ref="B2:H16"/>
  <sheetViews>
    <sheetView workbookViewId="0">
      <selection activeCell="G10" sqref="G10"/>
    </sheetView>
  </sheetViews>
  <sheetFormatPr baseColWidth="10" defaultColWidth="11.42578125" defaultRowHeight="18"/>
  <cols>
    <col min="1" max="1" width="11.42578125" style="9"/>
    <col min="2" max="2" width="22.7109375" style="9" customWidth="1"/>
    <col min="3" max="3" width="11.42578125" style="9"/>
    <col min="4" max="5" width="18" style="9" bestFit="1" customWidth="1"/>
    <col min="6" max="7" width="11.42578125" style="9"/>
    <col min="8" max="8" width="18.42578125" style="9" bestFit="1" customWidth="1"/>
    <col min="9" max="16384" width="11.42578125" style="9"/>
  </cols>
  <sheetData>
    <row r="2" spans="2:8">
      <c r="B2" s="21" t="s">
        <v>74</v>
      </c>
    </row>
    <row r="4" spans="2:8">
      <c r="B4" s="129" t="s">
        <v>70</v>
      </c>
      <c r="C4" s="129"/>
      <c r="D4" s="129"/>
      <c r="E4" s="129"/>
      <c r="F4" s="129"/>
      <c r="G4" s="129"/>
      <c r="H4" s="143">
        <f>KFW!H4-KFW!H13</f>
        <v>473026</v>
      </c>
    </row>
    <row r="8" spans="2:8">
      <c r="B8" s="129" t="s">
        <v>45</v>
      </c>
      <c r="C8" s="129"/>
      <c r="D8" s="129"/>
      <c r="E8" s="151">
        <f>H4</f>
        <v>473026</v>
      </c>
    </row>
    <row r="10" spans="2:8">
      <c r="B10" s="6"/>
      <c r="C10" s="5" t="s">
        <v>24</v>
      </c>
      <c r="D10" s="5"/>
      <c r="E10" s="25">
        <v>3.5000000000000003E-2</v>
      </c>
      <c r="F10" s="5"/>
      <c r="G10" s="9" t="s">
        <v>130</v>
      </c>
    </row>
    <row r="11" spans="2:8">
      <c r="B11" s="6"/>
      <c r="C11" s="5" t="s">
        <v>25</v>
      </c>
      <c r="D11" s="5"/>
      <c r="E11" s="18">
        <v>10</v>
      </c>
      <c r="F11" s="5" t="s">
        <v>27</v>
      </c>
    </row>
    <row r="12" spans="2:8">
      <c r="B12" s="6"/>
      <c r="C12" s="9" t="s">
        <v>26</v>
      </c>
      <c r="E12" s="25">
        <v>1.4999999999999999E-2</v>
      </c>
      <c r="F12" s="5"/>
    </row>
    <row r="13" spans="2:8">
      <c r="B13" s="6"/>
      <c r="C13" s="5" t="s">
        <v>13</v>
      </c>
      <c r="D13" s="5"/>
      <c r="E13" s="18">
        <v>30</v>
      </c>
      <c r="F13" s="5" t="s">
        <v>27</v>
      </c>
    </row>
    <row r="14" spans="2:8">
      <c r="B14" s="6"/>
      <c r="C14" s="5"/>
      <c r="D14" s="5"/>
      <c r="E14" s="18"/>
      <c r="F14" s="5"/>
    </row>
    <row r="15" spans="2:8">
      <c r="B15" s="132" t="s">
        <v>30</v>
      </c>
      <c r="C15" s="132"/>
      <c r="D15" s="132"/>
      <c r="E15" s="124">
        <f>E16/12</f>
        <v>1970.9416666666666</v>
      </c>
      <c r="F15" s="5"/>
    </row>
    <row r="16" spans="2:8">
      <c r="B16" s="135" t="s">
        <v>29</v>
      </c>
      <c r="C16" s="132"/>
      <c r="D16" s="132"/>
      <c r="E16" s="127">
        <f>'FK Kapitaldienst'!E4</f>
        <v>23651.3</v>
      </c>
      <c r="F16" s="5"/>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5DEB7-B1A8-4CD4-B8D7-61504815F3F8}">
  <dimension ref="A1:E53"/>
  <sheetViews>
    <sheetView workbookViewId="0">
      <selection activeCell="J27" sqref="J27"/>
    </sheetView>
  </sheetViews>
  <sheetFormatPr baseColWidth="10" defaultRowHeight="12.75"/>
  <cols>
    <col min="2" max="2" width="18" style="24" customWidth="1"/>
    <col min="3" max="3" width="11.7109375" bestFit="1" customWidth="1"/>
  </cols>
  <sheetData>
    <row r="1" spans="1:5">
      <c r="A1" s="144" t="s">
        <v>1</v>
      </c>
      <c r="B1" s="145"/>
      <c r="C1" s="146"/>
      <c r="D1" s="146"/>
      <c r="E1" s="146"/>
    </row>
    <row r="2" spans="1:5">
      <c r="A2" s="147" t="s">
        <v>3</v>
      </c>
      <c r="B2" s="148"/>
      <c r="C2" s="142"/>
      <c r="D2" s="142"/>
      <c r="E2" s="142"/>
    </row>
    <row r="3" spans="1:5">
      <c r="A3" s="147" t="s">
        <v>5</v>
      </c>
      <c r="B3" s="149" t="s">
        <v>6</v>
      </c>
      <c r="C3" s="141" t="s">
        <v>7</v>
      </c>
      <c r="D3" s="141" t="s">
        <v>8</v>
      </c>
      <c r="E3" s="141" t="s">
        <v>9</v>
      </c>
    </row>
    <row r="4" spans="1:5">
      <c r="A4" s="150">
        <v>1</v>
      </c>
      <c r="B4" s="148">
        <f>Fremdkapital!E8</f>
        <v>473026</v>
      </c>
      <c r="C4" s="142">
        <f>B4*Fremdkapital!E12</f>
        <v>7095.3899999999994</v>
      </c>
      <c r="D4" s="142">
        <f>B4*Fremdkapital!E10</f>
        <v>16555.91</v>
      </c>
      <c r="E4" s="142">
        <f t="shared" ref="E4:E33" si="0">C4+D4</f>
        <v>23651.3</v>
      </c>
    </row>
    <row r="5" spans="1:5">
      <c r="A5" s="150">
        <v>2</v>
      </c>
      <c r="B5" s="148">
        <f t="shared" ref="B5:B33" si="1">B4-C4</f>
        <v>465930.61</v>
      </c>
      <c r="C5" s="142">
        <f>E4-D5</f>
        <v>11490.511078999998</v>
      </c>
      <c r="D5" s="142">
        <f>B5*KFW!$E$16</f>
        <v>12160.788921000001</v>
      </c>
      <c r="E5" s="142">
        <f t="shared" si="0"/>
        <v>23651.3</v>
      </c>
    </row>
    <row r="6" spans="1:5">
      <c r="A6" s="150">
        <v>3</v>
      </c>
      <c r="B6" s="148">
        <f t="shared" si="1"/>
        <v>454440.09892099997</v>
      </c>
      <c r="C6" s="142">
        <f t="shared" ref="C6:C33" si="2">E5-D6</f>
        <v>11790.413418161899</v>
      </c>
      <c r="D6" s="142">
        <f>B6*KFW!$E$16</f>
        <v>11860.8865818381</v>
      </c>
      <c r="E6" s="142">
        <f t="shared" si="0"/>
        <v>23651.3</v>
      </c>
    </row>
    <row r="7" spans="1:5">
      <c r="A7" s="150">
        <v>4</v>
      </c>
      <c r="B7" s="148">
        <f t="shared" si="1"/>
        <v>442649.68550283805</v>
      </c>
      <c r="C7" s="142">
        <f t="shared" si="2"/>
        <v>12098.143208375925</v>
      </c>
      <c r="D7" s="142">
        <f>B7*KFW!$E$16</f>
        <v>11553.156791624075</v>
      </c>
      <c r="E7" s="142">
        <f t="shared" si="0"/>
        <v>23651.3</v>
      </c>
    </row>
    <row r="8" spans="1:5">
      <c r="A8" s="150">
        <v>5</v>
      </c>
      <c r="B8" s="148">
        <f t="shared" si="1"/>
        <v>430551.54229446215</v>
      </c>
      <c r="C8" s="142">
        <f t="shared" si="2"/>
        <v>12413.904746114536</v>
      </c>
      <c r="D8" s="142">
        <f>B8*KFW!$E$16</f>
        <v>11237.395253885463</v>
      </c>
      <c r="E8" s="142">
        <f t="shared" si="0"/>
        <v>23651.3</v>
      </c>
    </row>
    <row r="9" spans="1:5">
      <c r="A9" s="150">
        <v>6</v>
      </c>
      <c r="B9" s="148">
        <f t="shared" si="1"/>
        <v>418137.63754834764</v>
      </c>
      <c r="C9" s="142">
        <f t="shared" si="2"/>
        <v>12737.907659988125</v>
      </c>
      <c r="D9" s="142">
        <f>B9*KFW!$E$16</f>
        <v>10913.392340011875</v>
      </c>
      <c r="E9" s="142">
        <f t="shared" si="0"/>
        <v>23651.3</v>
      </c>
    </row>
    <row r="10" spans="1:5">
      <c r="A10" s="150">
        <v>7</v>
      </c>
      <c r="B10" s="148">
        <f t="shared" si="1"/>
        <v>405399.72988835949</v>
      </c>
      <c r="C10" s="142">
        <f t="shared" si="2"/>
        <v>13070.367049913815</v>
      </c>
      <c r="D10" s="142">
        <f>B10*KFW!$E$16</f>
        <v>10580.932950086184</v>
      </c>
      <c r="E10" s="142">
        <f t="shared" si="0"/>
        <v>23651.3</v>
      </c>
    </row>
    <row r="11" spans="1:5">
      <c r="A11" s="150">
        <v>8</v>
      </c>
      <c r="B11" s="148">
        <f t="shared" si="1"/>
        <v>392329.3628384457</v>
      </c>
      <c r="C11" s="142">
        <f t="shared" si="2"/>
        <v>13411.503629916566</v>
      </c>
      <c r="D11" s="142">
        <f>B11*KFW!$E$16</f>
        <v>10239.796370083433</v>
      </c>
      <c r="E11" s="142">
        <f t="shared" si="0"/>
        <v>23651.3</v>
      </c>
    </row>
    <row r="12" spans="1:5">
      <c r="A12" s="150">
        <v>9</v>
      </c>
      <c r="B12" s="148">
        <f t="shared" si="1"/>
        <v>378917.85920852912</v>
      </c>
      <c r="C12" s="142">
        <f t="shared" si="2"/>
        <v>13761.543874657389</v>
      </c>
      <c r="D12" s="142">
        <f>B12*KFW!$E$16</f>
        <v>9889.7561253426102</v>
      </c>
      <c r="E12" s="142">
        <f t="shared" si="0"/>
        <v>23651.3</v>
      </c>
    </row>
    <row r="13" spans="1:5">
      <c r="A13" s="150">
        <v>10</v>
      </c>
      <c r="B13" s="148">
        <f t="shared" si="1"/>
        <v>365156.31533387175</v>
      </c>
      <c r="C13" s="142">
        <f t="shared" si="2"/>
        <v>14120.720169785945</v>
      </c>
      <c r="D13" s="142">
        <f>B13*KFW!$E$16</f>
        <v>9530.5798302140538</v>
      </c>
      <c r="E13" s="142">
        <f t="shared" si="0"/>
        <v>23651.3</v>
      </c>
    </row>
    <row r="14" spans="1:5">
      <c r="A14" s="150">
        <v>11</v>
      </c>
      <c r="B14" s="148">
        <f t="shared" si="1"/>
        <v>351035.5951640858</v>
      </c>
      <c r="C14" s="142">
        <f t="shared" si="2"/>
        <v>14489.27096621736</v>
      </c>
      <c r="D14" s="142">
        <f>B14*KFW!$E$16</f>
        <v>9162.0290337826391</v>
      </c>
      <c r="E14" s="142">
        <f t="shared" si="0"/>
        <v>23651.3</v>
      </c>
    </row>
    <row r="15" spans="1:5">
      <c r="A15" s="150">
        <v>12</v>
      </c>
      <c r="B15" s="148">
        <f t="shared" si="1"/>
        <v>336546.32419786841</v>
      </c>
      <c r="C15" s="142">
        <f t="shared" si="2"/>
        <v>14867.440938435633</v>
      </c>
      <c r="D15" s="142">
        <f>B15*KFW!$E$16</f>
        <v>8783.8590615643661</v>
      </c>
      <c r="E15" s="142">
        <f t="shared" si="0"/>
        <v>23651.3</v>
      </c>
    </row>
    <row r="16" spans="1:5">
      <c r="A16" s="150">
        <v>13</v>
      </c>
      <c r="B16" s="148">
        <f t="shared" si="1"/>
        <v>321678.8832594328</v>
      </c>
      <c r="C16" s="142">
        <f t="shared" si="2"/>
        <v>15255.481146928803</v>
      </c>
      <c r="D16" s="142">
        <f>B16*KFW!$E$16</f>
        <v>8395.8188530711959</v>
      </c>
      <c r="E16" s="142">
        <f t="shared" si="0"/>
        <v>23651.3</v>
      </c>
    </row>
    <row r="17" spans="1:5">
      <c r="A17" s="150">
        <v>14</v>
      </c>
      <c r="B17" s="148">
        <f t="shared" si="1"/>
        <v>306423.402112504</v>
      </c>
      <c r="C17" s="142">
        <f t="shared" si="2"/>
        <v>15653.649204863645</v>
      </c>
      <c r="D17" s="142">
        <f>B17*KFW!$E$16</f>
        <v>7997.6507951363546</v>
      </c>
      <c r="E17" s="142">
        <f t="shared" si="0"/>
        <v>23651.3</v>
      </c>
    </row>
    <row r="18" spans="1:5">
      <c r="A18" s="150">
        <v>15</v>
      </c>
      <c r="B18" s="148">
        <f t="shared" si="1"/>
        <v>290769.75290764036</v>
      </c>
      <c r="C18" s="142">
        <f t="shared" si="2"/>
        <v>16062.209449110585</v>
      </c>
      <c r="D18" s="142">
        <f>B18*KFW!$E$16</f>
        <v>7589.0905508894139</v>
      </c>
      <c r="E18" s="142">
        <f t="shared" si="0"/>
        <v>23651.3</v>
      </c>
    </row>
    <row r="19" spans="1:5">
      <c r="A19" s="150">
        <v>16</v>
      </c>
      <c r="B19" s="148">
        <f t="shared" si="1"/>
        <v>274707.54345852975</v>
      </c>
      <c r="C19" s="142">
        <f t="shared" si="2"/>
        <v>16481.433115732372</v>
      </c>
      <c r="D19" s="142">
        <f>B19*KFW!$E$16</f>
        <v>7169.866884267627</v>
      </c>
      <c r="E19" s="142">
        <f t="shared" si="0"/>
        <v>23651.3</v>
      </c>
    </row>
    <row r="20" spans="1:5">
      <c r="A20" s="150">
        <v>17</v>
      </c>
      <c r="B20" s="148">
        <f t="shared" si="1"/>
        <v>258226.11034279739</v>
      </c>
      <c r="C20" s="142">
        <f t="shared" si="2"/>
        <v>16911.598520052987</v>
      </c>
      <c r="D20" s="142">
        <f>B20*KFW!$E$16</f>
        <v>6739.7014799470126</v>
      </c>
      <c r="E20" s="142">
        <f t="shared" si="0"/>
        <v>23651.3</v>
      </c>
    </row>
    <row r="21" spans="1:5">
      <c r="A21" s="150">
        <v>18</v>
      </c>
      <c r="B21" s="148">
        <f t="shared" si="1"/>
        <v>241314.51182274439</v>
      </c>
      <c r="C21" s="142">
        <f t="shared" si="2"/>
        <v>17352.991241426371</v>
      </c>
      <c r="D21" s="142">
        <f>B21*KFW!$E$16</f>
        <v>6298.3087585736293</v>
      </c>
      <c r="E21" s="142">
        <f t="shared" si="0"/>
        <v>23651.3</v>
      </c>
    </row>
    <row r="22" spans="1:5">
      <c r="A22" s="150">
        <v>19</v>
      </c>
      <c r="B22" s="148">
        <f t="shared" si="1"/>
        <v>223961.52058131801</v>
      </c>
      <c r="C22" s="142">
        <f t="shared" si="2"/>
        <v>17805.904312827599</v>
      </c>
      <c r="D22" s="142">
        <f>B22*KFW!$E$16</f>
        <v>5845.3956871724004</v>
      </c>
      <c r="E22" s="142">
        <f t="shared" si="0"/>
        <v>23651.3</v>
      </c>
    </row>
    <row r="23" spans="1:5">
      <c r="A23" s="150">
        <v>20</v>
      </c>
      <c r="B23" s="148">
        <f t="shared" si="1"/>
        <v>206155.61626849041</v>
      </c>
      <c r="C23" s="142">
        <f t="shared" si="2"/>
        <v>18270.638415392401</v>
      </c>
      <c r="D23" s="142">
        <f>B23*KFW!$E$16</f>
        <v>5380.6615846076002</v>
      </c>
      <c r="E23" s="142">
        <f t="shared" si="0"/>
        <v>23651.300000000003</v>
      </c>
    </row>
    <row r="24" spans="1:5">
      <c r="A24" s="150">
        <v>21</v>
      </c>
      <c r="B24" s="148">
        <f t="shared" si="1"/>
        <v>187884.97785309801</v>
      </c>
      <c r="C24" s="142">
        <f t="shared" si="2"/>
        <v>18747.502078034144</v>
      </c>
      <c r="D24" s="142">
        <f>B24*KFW!$E$16</f>
        <v>4903.7979219658582</v>
      </c>
      <c r="E24" s="142">
        <f t="shared" si="0"/>
        <v>23651.300000000003</v>
      </c>
    </row>
    <row r="25" spans="1:5">
      <c r="A25" s="150">
        <v>22</v>
      </c>
      <c r="B25" s="148">
        <f t="shared" si="1"/>
        <v>169137.47577506385</v>
      </c>
      <c r="C25" s="142">
        <f t="shared" si="2"/>
        <v>19236.811882270835</v>
      </c>
      <c r="D25" s="142">
        <f>B25*KFW!$E$16</f>
        <v>4414.4881177291672</v>
      </c>
      <c r="E25" s="142">
        <f t="shared" si="0"/>
        <v>23651.300000000003</v>
      </c>
    </row>
    <row r="26" spans="1:5">
      <c r="A26" s="150">
        <v>23</v>
      </c>
      <c r="B26" s="148">
        <f t="shared" si="1"/>
        <v>149900.663892793</v>
      </c>
      <c r="C26" s="142">
        <f t="shared" si="2"/>
        <v>19738.892672398106</v>
      </c>
      <c r="D26" s="142">
        <f>B26*KFW!$E$16</f>
        <v>3912.4073276018976</v>
      </c>
      <c r="E26" s="142">
        <f t="shared" si="0"/>
        <v>23651.300000000003</v>
      </c>
    </row>
    <row r="27" spans="1:5">
      <c r="A27" s="150">
        <v>24</v>
      </c>
      <c r="B27" s="148">
        <f t="shared" si="1"/>
        <v>130161.7712203949</v>
      </c>
      <c r="C27" s="142">
        <f t="shared" si="2"/>
        <v>20254.077771147695</v>
      </c>
      <c r="D27" s="142">
        <f>B27*KFW!$E$16</f>
        <v>3397.2222288523071</v>
      </c>
      <c r="E27" s="142">
        <f t="shared" si="0"/>
        <v>23651.300000000003</v>
      </c>
    </row>
    <row r="28" spans="1:5">
      <c r="A28" s="150">
        <v>25</v>
      </c>
      <c r="B28" s="148">
        <f t="shared" si="1"/>
        <v>109907.69344924721</v>
      </c>
      <c r="C28" s="142">
        <f t="shared" si="2"/>
        <v>20782.709200974652</v>
      </c>
      <c r="D28" s="142">
        <f>B28*KFW!$E$16</f>
        <v>2868.5907990253522</v>
      </c>
      <c r="E28" s="142">
        <f t="shared" si="0"/>
        <v>23651.300000000003</v>
      </c>
    </row>
    <row r="29" spans="1:5">
      <c r="A29" s="150">
        <v>26</v>
      </c>
      <c r="B29" s="148">
        <f t="shared" si="1"/>
        <v>89124.984248272551</v>
      </c>
      <c r="C29" s="142">
        <f t="shared" si="2"/>
        <v>21325.137911120088</v>
      </c>
      <c r="D29" s="142">
        <f>B29*KFW!$E$16</f>
        <v>2326.1620888799139</v>
      </c>
      <c r="E29" s="142">
        <f t="shared" si="0"/>
        <v>23651.300000000003</v>
      </c>
    </row>
    <row r="30" spans="1:5">
      <c r="A30" s="150">
        <v>27</v>
      </c>
      <c r="B30" s="148">
        <f t="shared" si="1"/>
        <v>67799.84633715247</v>
      </c>
      <c r="C30" s="142">
        <f t="shared" si="2"/>
        <v>21881.724010600323</v>
      </c>
      <c r="D30" s="142">
        <f>B30*KFW!$E$16</f>
        <v>1769.5759893996797</v>
      </c>
      <c r="E30" s="142">
        <f t="shared" si="0"/>
        <v>23651.300000000003</v>
      </c>
    </row>
    <row r="31" spans="1:5">
      <c r="A31" s="150">
        <v>28</v>
      </c>
      <c r="B31" s="148">
        <f t="shared" si="1"/>
        <v>45918.122326552148</v>
      </c>
      <c r="C31" s="142">
        <f t="shared" si="2"/>
        <v>22452.83700727699</v>
      </c>
      <c r="D31" s="142">
        <f>B31*KFW!$E$16</f>
        <v>1198.4629927230112</v>
      </c>
      <c r="E31" s="142">
        <f t="shared" si="0"/>
        <v>23651.300000000003</v>
      </c>
    </row>
    <row r="32" spans="1:5">
      <c r="A32" s="150">
        <v>29</v>
      </c>
      <c r="B32" s="148">
        <f t="shared" si="1"/>
        <v>23465.285319275157</v>
      </c>
      <c r="C32" s="142">
        <f t="shared" si="2"/>
        <v>23038.856053166921</v>
      </c>
      <c r="D32" s="142">
        <f>B32*KFW!$E$16</f>
        <v>612.44394683308167</v>
      </c>
      <c r="E32" s="142">
        <f t="shared" si="0"/>
        <v>23651.300000000003</v>
      </c>
    </row>
    <row r="33" spans="1:5">
      <c r="A33" s="150">
        <v>30</v>
      </c>
      <c r="B33" s="148">
        <f t="shared" si="1"/>
        <v>426.42926610823633</v>
      </c>
      <c r="C33" s="142">
        <f t="shared" si="2"/>
        <v>23640.170196154577</v>
      </c>
      <c r="D33" s="142">
        <f>B33*KFW!$E$16</f>
        <v>11.129803845424968</v>
      </c>
      <c r="E33" s="142">
        <f t="shared" si="0"/>
        <v>23651.300000000003</v>
      </c>
    </row>
    <row r="34" spans="1:5">
      <c r="A34" s="4">
        <v>31</v>
      </c>
      <c r="C34" s="3"/>
      <c r="D34" s="3"/>
      <c r="E34" s="3"/>
    </row>
    <row r="35" spans="1:5">
      <c r="A35" s="4">
        <v>32</v>
      </c>
      <c r="C35" s="3"/>
      <c r="D35" s="3"/>
      <c r="E35" s="3"/>
    </row>
    <row r="36" spans="1:5">
      <c r="A36" s="4">
        <v>33</v>
      </c>
      <c r="C36" s="3"/>
      <c r="D36" s="3"/>
      <c r="E36" s="3"/>
    </row>
    <row r="37" spans="1:5">
      <c r="A37" s="4">
        <v>34</v>
      </c>
      <c r="C37" s="3"/>
      <c r="D37" s="3"/>
      <c r="E37" s="3"/>
    </row>
    <row r="38" spans="1:5">
      <c r="A38" s="4">
        <v>35</v>
      </c>
      <c r="C38" s="3"/>
      <c r="D38" s="3"/>
      <c r="E38" s="3"/>
    </row>
    <row r="39" spans="1:5">
      <c r="A39" s="4">
        <v>36</v>
      </c>
      <c r="C39" s="3"/>
      <c r="D39" s="3"/>
      <c r="E39" s="3"/>
    </row>
    <row r="40" spans="1:5">
      <c r="A40" s="4">
        <v>37</v>
      </c>
      <c r="C40" s="3"/>
      <c r="D40" s="3"/>
      <c r="E40" s="3"/>
    </row>
    <row r="41" spans="1:5">
      <c r="A41" s="4">
        <v>38</v>
      </c>
      <c r="C41" s="3"/>
      <c r="D41" s="3"/>
      <c r="E41" s="3"/>
    </row>
    <row r="42" spans="1:5">
      <c r="A42" s="4">
        <v>39</v>
      </c>
      <c r="C42" s="3"/>
      <c r="D42" s="3"/>
      <c r="E42" s="3"/>
    </row>
    <row r="43" spans="1:5">
      <c r="A43" s="4">
        <v>40</v>
      </c>
      <c r="C43" s="3"/>
      <c r="D43" s="3"/>
      <c r="E43" s="3"/>
    </row>
    <row r="44" spans="1:5">
      <c r="A44" s="4">
        <v>41</v>
      </c>
      <c r="C44" s="3"/>
      <c r="D44" s="3"/>
      <c r="E44" s="3"/>
    </row>
    <row r="45" spans="1:5">
      <c r="A45" s="4">
        <v>42</v>
      </c>
      <c r="C45" s="3"/>
      <c r="D45" s="3"/>
      <c r="E45" s="3"/>
    </row>
    <row r="46" spans="1:5">
      <c r="A46" s="4">
        <v>43</v>
      </c>
      <c r="C46" s="3"/>
      <c r="D46" s="3"/>
      <c r="E46" s="3"/>
    </row>
    <row r="47" spans="1:5">
      <c r="A47" s="4">
        <v>44</v>
      </c>
      <c r="C47" s="3"/>
      <c r="D47" s="3"/>
      <c r="E47" s="3"/>
    </row>
    <row r="48" spans="1:5">
      <c r="A48" s="4">
        <v>45</v>
      </c>
      <c r="C48" s="3"/>
      <c r="D48" s="3"/>
      <c r="E48" s="3"/>
    </row>
    <row r="49" spans="1:5">
      <c r="A49" s="4">
        <v>46</v>
      </c>
      <c r="C49" s="3"/>
      <c r="D49" s="3"/>
      <c r="E49" s="3"/>
    </row>
    <row r="50" spans="1:5">
      <c r="A50" s="4">
        <v>47</v>
      </c>
      <c r="C50" s="3"/>
      <c r="D50" s="3"/>
      <c r="E50" s="3"/>
    </row>
    <row r="51" spans="1:5">
      <c r="A51" s="4">
        <v>48</v>
      </c>
      <c r="C51" s="3"/>
      <c r="D51" s="3"/>
      <c r="E51" s="3"/>
    </row>
    <row r="52" spans="1:5">
      <c r="A52" s="4">
        <v>49</v>
      </c>
      <c r="C52" s="3"/>
      <c r="D52" s="3"/>
      <c r="E52" s="3"/>
    </row>
    <row r="53" spans="1:5">
      <c r="A53" s="4">
        <v>50</v>
      </c>
      <c r="C53" s="3"/>
      <c r="D53" s="3"/>
      <c r="E53" s="3"/>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Einführung</vt:lpstr>
      <vt:lpstr>Investition Neubau</vt:lpstr>
      <vt:lpstr>Wohnungen</vt:lpstr>
      <vt:lpstr>Eigenmittel_Förderung</vt:lpstr>
      <vt:lpstr>EK Kapitaldienst</vt:lpstr>
      <vt:lpstr>KFW</vt:lpstr>
      <vt:lpstr>KFW Kapitaldienst</vt:lpstr>
      <vt:lpstr>Fremdkapital</vt:lpstr>
      <vt:lpstr>FK Kapitaldienst</vt:lpstr>
      <vt:lpstr>InvestitionÜbersicht</vt:lpstr>
      <vt:lpstr>Mntl. Kosten</vt:lpstr>
      <vt:lpstr>Mieteinnahmen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Schultz-Adebahr</dc:creator>
  <cp:lastModifiedBy>Petra Schultz-Adebahr</cp:lastModifiedBy>
  <cp:revision>6</cp:revision>
  <dcterms:created xsi:type="dcterms:W3CDTF">2026-01-17T14:23:39Z</dcterms:created>
  <dcterms:modified xsi:type="dcterms:W3CDTF">2026-04-02T10:01:44Z</dcterms:modified>
</cp:coreProperties>
</file>